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D:\TMP\Examples\"/>
    </mc:Choice>
  </mc:AlternateContent>
  <xr:revisionPtr revIDLastSave="0" documentId="13_ncr:1_{9286FCC3-8FD8-4086-8B6F-7E6EAB0BE288}" xr6:coauthVersionLast="47" xr6:coauthVersionMax="47" xr10:uidLastSave="{00000000-0000-0000-0000-000000000000}"/>
  <bookViews>
    <workbookView xWindow="-120" yWindow="-120" windowWidth="38640" windowHeight="21120" activeTab="1" xr2:uid="{00000000-000D-0000-FFFF-FFFF00000000}"/>
  </bookViews>
  <sheets>
    <sheet name="Yahoo! Finance Options" sheetId="3" r:id="rId1"/>
    <sheet name="ExpDates" sheetId="7" r:id="rId2"/>
    <sheet name="Lists" sheetId="8" r:id="rId3"/>
    <sheet name="OptionsByCode" sheetId="4" r:id="rId4"/>
    <sheet name="OptionsByContract" sheetId="5" r:id="rId5"/>
    <sheet name="CalendarModel"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7" l="1"/>
  <c r="F8" i="7"/>
  <c r="E8" i="7"/>
  <c r="D8" i="7"/>
  <c r="F6" i="7"/>
  <c r="H6" i="8"/>
  <c r="G6" i="8"/>
  <c r="E11" i="8"/>
  <c r="E12" i="8" s="1"/>
  <c r="E13" i="8" s="1"/>
  <c r="E14" i="8" s="1"/>
  <c r="E15" i="8" s="1"/>
  <c r="E16" i="8" s="1"/>
  <c r="E17" i="8" s="1"/>
  <c r="E18" i="8" s="1"/>
  <c r="E19" i="8" s="1"/>
  <c r="E20" i="8" s="1"/>
  <c r="E21" i="8" s="1"/>
  <c r="E22" i="8" s="1"/>
  <c r="E23" i="8" s="1"/>
  <c r="E24" i="8" s="1"/>
  <c r="E25" i="8" s="1"/>
  <c r="E26" i="8" s="1"/>
  <c r="E27" i="8" s="1"/>
  <c r="E28" i="8" s="1"/>
  <c r="E29" i="8" s="1"/>
  <c r="E30" i="8" s="1"/>
  <c r="E31" i="8" s="1"/>
  <c r="E32" i="8" s="1"/>
  <c r="E33" i="8" s="1"/>
  <c r="E34" i="8" s="1"/>
  <c r="E35" i="8" s="1"/>
  <c r="E36" i="8" s="1"/>
  <c r="E37" i="8" s="1"/>
  <c r="E38" i="8" s="1"/>
  <c r="E39" i="8" s="1"/>
  <c r="E40" i="8" s="1"/>
  <c r="E41" i="8" s="1"/>
  <c r="E42" i="8" s="1"/>
  <c r="E43" i="8" s="1"/>
  <c r="E44" i="8" s="1"/>
  <c r="E45" i="8" s="1"/>
  <c r="E46" i="8" s="1"/>
  <c r="E47" i="8" s="1"/>
  <c r="E48" i="8" s="1"/>
  <c r="E49" i="8" s="1"/>
  <c r="E50" i="8" s="1"/>
  <c r="E51" i="8" s="1"/>
  <c r="E52" i="8" s="1"/>
  <c r="E53" i="8" s="1"/>
  <c r="E54" i="8" s="1"/>
  <c r="E55" i="8" s="1"/>
  <c r="E56" i="8" s="1"/>
  <c r="E57" i="8" s="1"/>
  <c r="E58" i="8" s="1"/>
  <c r="E59" i="8" s="1"/>
  <c r="T6" i="8"/>
  <c r="S6" i="8"/>
  <c r="R6" i="8"/>
  <c r="Q6" i="8"/>
  <c r="O6" i="8"/>
  <c r="N6" i="8"/>
  <c r="M6" i="8"/>
  <c r="L6" i="8"/>
  <c r="K6" i="8"/>
  <c r="J6" i="8"/>
  <c r="I6" i="8"/>
  <c r="D60" i="8"/>
  <c r="D59" i="8"/>
  <c r="D58" i="8"/>
  <c r="D57" i="8"/>
  <c r="D56" i="8"/>
  <c r="D55" i="8"/>
  <c r="D54" i="8"/>
  <c r="D53" i="8"/>
  <c r="D52"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E6" i="7"/>
  <c r="B2" i="3"/>
  <c r="O4" i="7"/>
  <c r="M4" i="7"/>
  <c r="K4" i="7"/>
  <c r="I4" i="7"/>
  <c r="G4" i="7"/>
  <c r="F4" i="7"/>
  <c r="D4" i="7"/>
  <c r="C4" i="7"/>
  <c r="B11" i="7" s="1"/>
  <c r="D11" i="7" l="1"/>
  <c r="H2" i="8"/>
  <c r="B20" i="7"/>
  <c r="F22" i="3"/>
  <c r="B22" i="3"/>
  <c r="F21" i="3"/>
  <c r="B21" i="3"/>
  <c r="F20" i="3"/>
  <c r="B20" i="3"/>
  <c r="F19" i="3"/>
  <c r="B19" i="3"/>
  <c r="F18" i="3"/>
  <c r="B18" i="3"/>
  <c r="C15" i="3"/>
  <c r="C22" i="3" s="1"/>
  <c r="F13" i="3"/>
  <c r="C13" i="3"/>
  <c r="B13" i="3"/>
  <c r="F12" i="3"/>
  <c r="C12" i="3"/>
  <c r="B12" i="3"/>
  <c r="F11" i="3"/>
  <c r="C11" i="3"/>
  <c r="B11" i="3"/>
  <c r="F10" i="3"/>
  <c r="C10" i="3"/>
  <c r="B10" i="3"/>
  <c r="F9" i="3"/>
  <c r="C9" i="3"/>
  <c r="B9" i="3"/>
  <c r="G5" i="4"/>
  <c r="G4" i="4"/>
  <c r="F7" i="4"/>
  <c r="F6" i="4"/>
  <c r="G4" i="5"/>
  <c r="H5" i="4"/>
  <c r="D7" i="4"/>
  <c r="E7" i="4"/>
  <c r="D6" i="4"/>
  <c r="E5" i="4"/>
  <c r="H4" i="4"/>
  <c r="G6" i="5"/>
  <c r="D4" i="4"/>
  <c r="G7" i="5"/>
  <c r="H7" i="4"/>
  <c r="D5" i="4"/>
  <c r="F7" i="5"/>
  <c r="G7" i="4"/>
  <c r="F4" i="4"/>
  <c r="F5" i="4"/>
  <c r="C6" i="4"/>
  <c r="F4" i="5"/>
  <c r="G6" i="4"/>
  <c r="F6" i="5"/>
  <c r="H6" i="4"/>
  <c r="F5" i="5"/>
  <c r="C4" i="4"/>
  <c r="G5" i="5"/>
  <c r="E4" i="4"/>
  <c r="C5" i="4"/>
  <c r="C7" i="4"/>
  <c r="E6" i="4"/>
  <c r="L6" i="4"/>
  <c r="K6" i="5"/>
  <c r="M5" i="5"/>
  <c r="J7" i="4"/>
  <c r="K7" i="5"/>
  <c r="N4" i="4"/>
  <c r="K4" i="4"/>
  <c r="F4" i="6"/>
  <c r="M7" i="4"/>
  <c r="M7" i="5"/>
  <c r="I5" i="5"/>
  <c r="J4" i="5"/>
  <c r="M6" i="4"/>
  <c r="L7" i="5"/>
  <c r="F7" i="6"/>
  <c r="K6" i="4"/>
  <c r="M6" i="5"/>
  <c r="K5" i="4"/>
  <c r="I7" i="5"/>
  <c r="E7" i="6"/>
  <c r="K7" i="4"/>
  <c r="F5" i="6"/>
  <c r="J5" i="4"/>
  <c r="N6" i="4"/>
  <c r="F6" i="6"/>
  <c r="I4" i="5"/>
  <c r="I6" i="5"/>
  <c r="M4" i="4"/>
  <c r="L5" i="5"/>
  <c r="E6" i="6"/>
  <c r="M5" i="4"/>
  <c r="E4" i="6"/>
  <c r="J4" i="4"/>
  <c r="J5" i="5"/>
  <c r="J7" i="5"/>
  <c r="J6" i="5"/>
  <c r="M4" i="5"/>
  <c r="L4" i="5"/>
  <c r="L5" i="4"/>
  <c r="N5" i="4"/>
  <c r="L6" i="5"/>
  <c r="E5" i="6"/>
  <c r="L4" i="4"/>
  <c r="J6" i="4"/>
  <c r="L7" i="4"/>
  <c r="N7" i="4"/>
  <c r="K5" i="5"/>
  <c r="K4" i="5"/>
  <c r="T4" i="3"/>
  <c r="S6" i="4"/>
  <c r="U6" i="4"/>
  <c r="O4" i="5"/>
  <c r="S4" i="5"/>
  <c r="P4" i="4"/>
  <c r="O7" i="4"/>
  <c r="I7" i="4"/>
  <c r="Q6" i="5"/>
  <c r="S5" i="5"/>
  <c r="U7" i="4"/>
  <c r="T5" i="5"/>
  <c r="S7" i="5"/>
  <c r="P6" i="5"/>
  <c r="H7" i="5"/>
  <c r="O5" i="5"/>
  <c r="I5" i="4"/>
  <c r="Q7" i="4"/>
  <c r="R7" i="5"/>
  <c r="P7" i="5"/>
  <c r="R5" i="4"/>
  <c r="D4" i="3"/>
  <c r="Q4" i="4"/>
  <c r="T7" i="4"/>
  <c r="P5" i="5"/>
  <c r="R6" i="5"/>
  <c r="N4" i="5"/>
  <c r="R4" i="3"/>
  <c r="S4" i="3"/>
  <c r="U5" i="4"/>
  <c r="O6" i="5"/>
  <c r="H4" i="5"/>
  <c r="P6" i="4"/>
  <c r="G4" i="3"/>
  <c r="R6" i="4"/>
  <c r="N5" i="5"/>
  <c r="C4" i="3"/>
  <c r="H6" i="5"/>
  <c r="P7" i="4"/>
  <c r="Q5" i="5"/>
  <c r="S7" i="4"/>
  <c r="T6" i="4"/>
  <c r="R4" i="5"/>
  <c r="U4" i="4"/>
  <c r="I4" i="3"/>
  <c r="Q4" i="5"/>
  <c r="T6" i="5"/>
  <c r="T5" i="4"/>
  <c r="N7" i="5"/>
  <c r="N6" i="5"/>
  <c r="Q6" i="4"/>
  <c r="F4" i="3"/>
  <c r="Q7" i="5"/>
  <c r="I4" i="4"/>
  <c r="H5" i="5"/>
  <c r="O5" i="4"/>
  <c r="R5" i="5"/>
  <c r="P5" i="4"/>
  <c r="T4" i="4"/>
  <c r="P4" i="5"/>
  <c r="S6" i="5"/>
  <c r="T7" i="5"/>
  <c r="S4" i="4"/>
  <c r="O4" i="4"/>
  <c r="Q5" i="4"/>
  <c r="O6" i="4"/>
  <c r="I6" i="4"/>
  <c r="T4" i="5"/>
  <c r="R7" i="4"/>
  <c r="S5" i="4"/>
  <c r="R4" i="4"/>
  <c r="O7" i="5"/>
  <c r="H1" i="8" l="1"/>
  <c r="G4" i="6"/>
  <c r="G5" i="6"/>
  <c r="G7" i="6"/>
  <c r="G6" i="6"/>
  <c r="C20" i="3"/>
  <c r="D20" i="3" s="1"/>
  <c r="S20" i="3" s="1"/>
  <c r="C21" i="3"/>
  <c r="C19" i="3"/>
  <c r="C18" i="3"/>
  <c r="D11" i="3"/>
  <c r="K11" i="3" s="1"/>
  <c r="M20" i="3" l="1"/>
  <c r="R11" i="3"/>
  <c r="O20" i="3"/>
  <c r="D21" i="3"/>
  <c r="G21" i="3" s="1"/>
  <c r="L20" i="3"/>
  <c r="Q11" i="3"/>
  <c r="N20" i="3"/>
  <c r="I20" i="3"/>
  <c r="I11" i="3"/>
  <c r="T11" i="3"/>
  <c r="D12" i="3"/>
  <c r="H11" i="3"/>
  <c r="M11" i="3"/>
  <c r="J20" i="3"/>
  <c r="J11" i="3"/>
  <c r="G20" i="3"/>
  <c r="L11" i="3"/>
  <c r="D19" i="3"/>
  <c r="R20" i="3"/>
  <c r="G11" i="3"/>
  <c r="K20" i="3"/>
  <c r="N11" i="3"/>
  <c r="Q20" i="3"/>
  <c r="T20" i="3"/>
  <c r="D10" i="3"/>
  <c r="S11" i="3"/>
  <c r="H20" i="3"/>
  <c r="O11" i="3"/>
  <c r="D22" i="3" l="1"/>
  <c r="J22" i="3" s="1"/>
  <c r="I21" i="3"/>
  <c r="R21" i="3"/>
  <c r="M21" i="3"/>
  <c r="L21" i="3"/>
  <c r="T21" i="3"/>
  <c r="S21" i="3"/>
  <c r="K21" i="3"/>
  <c r="H21" i="3"/>
  <c r="N21" i="3"/>
  <c r="Q21" i="3"/>
  <c r="O21" i="3"/>
  <c r="J21" i="3"/>
  <c r="H10" i="3"/>
  <c r="J10" i="3"/>
  <c r="T10" i="3"/>
  <c r="M10" i="3"/>
  <c r="S10" i="3"/>
  <c r="N10" i="3"/>
  <c r="R10" i="3"/>
  <c r="I10" i="3"/>
  <c r="K10" i="3"/>
  <c r="G10" i="3"/>
  <c r="L10" i="3"/>
  <c r="O10" i="3"/>
  <c r="Q10" i="3"/>
  <c r="D9" i="3"/>
  <c r="R12" i="3"/>
  <c r="H12" i="3"/>
  <c r="S12" i="3"/>
  <c r="G12" i="3"/>
  <c r="Q12" i="3"/>
  <c r="O12" i="3"/>
  <c r="M12" i="3"/>
  <c r="L12" i="3"/>
  <c r="K12" i="3"/>
  <c r="D13" i="3"/>
  <c r="T12" i="3"/>
  <c r="J12" i="3"/>
  <c r="N12" i="3"/>
  <c r="I12" i="3"/>
  <c r="T19" i="3"/>
  <c r="I19" i="3"/>
  <c r="N19" i="3"/>
  <c r="H19" i="3"/>
  <c r="S19" i="3"/>
  <c r="J19" i="3"/>
  <c r="D18" i="3"/>
  <c r="R19" i="3"/>
  <c r="O19" i="3"/>
  <c r="Q19" i="3"/>
  <c r="L19" i="3"/>
  <c r="G19" i="3"/>
  <c r="K19" i="3"/>
  <c r="M19" i="3"/>
  <c r="K22" i="3"/>
  <c r="M22" i="3"/>
  <c r="H22" i="3"/>
  <c r="Q22" i="3"/>
  <c r="N22" i="3" l="1"/>
  <c r="I22" i="3"/>
  <c r="O22" i="3"/>
  <c r="R22" i="3"/>
  <c r="S22" i="3"/>
  <c r="T22" i="3"/>
  <c r="L22" i="3"/>
  <c r="G22" i="3"/>
  <c r="T13" i="3"/>
  <c r="J13" i="3"/>
  <c r="R13" i="3"/>
  <c r="Q13" i="3"/>
  <c r="G13" i="3"/>
  <c r="S13" i="3"/>
  <c r="I13" i="3"/>
  <c r="N13" i="3"/>
  <c r="H13" i="3"/>
  <c r="O13" i="3"/>
  <c r="M13" i="3"/>
  <c r="L13" i="3"/>
  <c r="K13" i="3"/>
  <c r="I9" i="3"/>
  <c r="O9" i="3"/>
  <c r="Q9" i="3"/>
  <c r="M9" i="3"/>
  <c r="T9" i="3"/>
  <c r="R9" i="3"/>
  <c r="H9" i="3"/>
  <c r="S9" i="3"/>
  <c r="J9" i="3"/>
  <c r="G9" i="3"/>
  <c r="N9" i="3"/>
  <c r="K9" i="3"/>
  <c r="L9" i="3"/>
  <c r="J18" i="3"/>
  <c r="R18" i="3"/>
  <c r="Q18" i="3"/>
  <c r="M18" i="3"/>
  <c r="T18" i="3"/>
  <c r="G18" i="3"/>
  <c r="I18" i="3"/>
  <c r="H18" i="3"/>
  <c r="L18" i="3"/>
  <c r="K18" i="3"/>
  <c r="N18" i="3"/>
  <c r="O18" i="3"/>
  <c r="S18" i="3"/>
  <c r="E17" i="7"/>
  <c r="K8" i="7"/>
  <c r="F17" i="7"/>
  <c r="H8" i="7"/>
  <c r="H20" i="7" s="1"/>
  <c r="J8" i="7"/>
  <c r="J17" i="7" s="1"/>
  <c r="I8" i="7"/>
  <c r="I11" i="7" s="1"/>
  <c r="N8" i="7"/>
  <c r="N11" i="7" s="1"/>
  <c r="O8" i="7"/>
  <c r="O11" i="7" s="1"/>
  <c r="M8" i="7"/>
  <c r="M11" i="7" s="1"/>
  <c r="L8" i="7"/>
  <c r="L17" i="7" s="1"/>
  <c r="D17" i="7"/>
  <c r="Q8" i="7"/>
  <c r="R8" i="7"/>
  <c r="R17" i="7" s="1"/>
  <c r="P8" i="7"/>
  <c r="G11" i="7"/>
  <c r="G17" i="7"/>
  <c r="R20" i="7" l="1"/>
  <c r="O17" i="7"/>
  <c r="H11" i="7"/>
  <c r="P11" i="7"/>
  <c r="Q11" i="7"/>
  <c r="Q20" i="7"/>
  <c r="L11" i="7"/>
  <c r="I17" i="7"/>
  <c r="J20" i="7"/>
  <c r="H17" i="7"/>
  <c r="K11" i="7"/>
  <c r="E20" i="7"/>
  <c r="M20" i="7"/>
  <c r="N17" i="7"/>
  <c r="F11" i="7"/>
  <c r="K17" i="7"/>
  <c r="J11" i="7"/>
  <c r="R11" i="7"/>
  <c r="P20" i="7"/>
  <c r="Q17" i="7"/>
  <c r="K20" i="7"/>
  <c r="G20" i="7"/>
  <c r="L20" i="7"/>
  <c r="M17" i="7"/>
  <c r="O20" i="7"/>
  <c r="I20" i="7"/>
  <c r="E11" i="7"/>
  <c r="N20" i="7"/>
  <c r="P17" i="7"/>
  <c r="D20" i="7"/>
  <c r="F20" i="7"/>
  <c r="B21" i="7" l="1"/>
  <c r="B19" i="7"/>
  <c r="B12" i="7"/>
  <c r="B10" i="7"/>
  <c r="K10" i="7" l="1"/>
  <c r="H10" i="7"/>
  <c r="M10" i="7"/>
  <c r="R10" i="7"/>
  <c r="F10" i="7"/>
  <c r="P10" i="7"/>
  <c r="I10" i="7"/>
  <c r="O10" i="7"/>
  <c r="E10" i="7"/>
  <c r="N10" i="7"/>
  <c r="G10" i="7"/>
  <c r="B9" i="7"/>
  <c r="D9" i="7" s="1"/>
  <c r="Q10" i="7"/>
  <c r="D10" i="7"/>
  <c r="J10" i="7"/>
  <c r="L10" i="7"/>
  <c r="B13" i="7"/>
  <c r="P12" i="7"/>
  <c r="H12" i="7"/>
  <c r="Q12" i="7"/>
  <c r="J12" i="7"/>
  <c r="N12" i="7"/>
  <c r="F12" i="7"/>
  <c r="K12" i="7"/>
  <c r="M12" i="7"/>
  <c r="D12" i="7"/>
  <c r="L12" i="7"/>
  <c r="O12" i="7"/>
  <c r="I12" i="7"/>
  <c r="E12" i="7"/>
  <c r="R12" i="7"/>
  <c r="G12" i="7"/>
  <c r="B18" i="7"/>
  <c r="I19" i="7"/>
  <c r="Q19" i="7"/>
  <c r="K19" i="7"/>
  <c r="J19" i="7"/>
  <c r="D19" i="7"/>
  <c r="O19" i="7"/>
  <c r="F19" i="7"/>
  <c r="E19" i="7"/>
  <c r="H19" i="7"/>
  <c r="R19" i="7"/>
  <c r="N19" i="7"/>
  <c r="M19" i="7"/>
  <c r="G19" i="7"/>
  <c r="L19" i="7"/>
  <c r="P19" i="7"/>
  <c r="R21" i="7"/>
  <c r="G21" i="7"/>
  <c r="M21" i="7"/>
  <c r="I21" i="7"/>
  <c r="E21" i="7"/>
  <c r="O21" i="7"/>
  <c r="K21" i="7"/>
  <c r="D21" i="7"/>
  <c r="N21" i="7"/>
  <c r="Q21" i="7"/>
  <c r="H21" i="7"/>
  <c r="F21" i="7"/>
  <c r="P21" i="7"/>
  <c r="J21" i="7"/>
  <c r="L21" i="7"/>
  <c r="B22" i="7"/>
  <c r="E22" i="7" l="1"/>
  <c r="D22" i="7"/>
  <c r="I22" i="7"/>
  <c r="M22" i="7"/>
  <c r="G22" i="7"/>
  <c r="N22" i="7"/>
  <c r="Q22" i="7"/>
  <c r="R22" i="7"/>
  <c r="F22" i="7"/>
  <c r="L22" i="7"/>
  <c r="H22" i="7"/>
  <c r="O22" i="7"/>
  <c r="J22" i="7"/>
  <c r="P22" i="7"/>
  <c r="K22" i="7"/>
  <c r="I9" i="7"/>
  <c r="Q9" i="7"/>
  <c r="E9" i="7"/>
  <c r="F9" i="7"/>
  <c r="L9" i="7"/>
  <c r="J9" i="7"/>
  <c r="O9" i="7"/>
  <c r="M9" i="7"/>
  <c r="P9" i="7"/>
  <c r="H9" i="7"/>
  <c r="G9" i="7"/>
  <c r="N9" i="7"/>
  <c r="K9" i="7"/>
  <c r="R9" i="7"/>
  <c r="N18" i="7"/>
  <c r="P18" i="7"/>
  <c r="L18" i="7"/>
  <c r="G18" i="7"/>
  <c r="R18" i="7"/>
  <c r="M18" i="7"/>
  <c r="Q18" i="7"/>
  <c r="J18" i="7"/>
  <c r="D18" i="7"/>
  <c r="O18" i="7"/>
  <c r="E18" i="7"/>
  <c r="K18" i="7"/>
  <c r="I18" i="7"/>
  <c r="F18" i="7"/>
  <c r="H18" i="7"/>
  <c r="R13" i="7"/>
  <c r="D13" i="7"/>
  <c r="F13" i="7"/>
  <c r="I13" i="7"/>
  <c r="K13" i="7"/>
  <c r="E13" i="7"/>
  <c r="N13" i="7"/>
  <c r="H13" i="7"/>
  <c r="P13" i="7"/>
  <c r="O13" i="7"/>
  <c r="Q13" i="7"/>
  <c r="L13" i="7"/>
  <c r="G13" i="7"/>
  <c r="M13" i="7"/>
  <c r="J1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C4" authorId="0" shapeId="0" xr:uid="{00000000-0006-0000-0000-000001000000}">
      <text>
        <r>
          <rPr>
            <sz val="9"/>
            <color indexed="81"/>
            <rFont val="Tahoma"/>
            <family val="2"/>
            <charset val="204"/>
          </rPr>
          <t>Last price.
The price is used to find ATM strike by the strike-0 field.</t>
        </r>
      </text>
    </comment>
    <comment ref="D9" authorId="0" shapeId="0" xr:uid="{00000000-0006-0000-0000-000002000000}">
      <text>
        <r>
          <rPr>
            <sz val="9"/>
            <color indexed="81"/>
            <rFont val="Tahoma"/>
            <family val="2"/>
            <charset val="204"/>
          </rPr>
          <t>Higher strike by strike+1</t>
        </r>
      </text>
    </comment>
    <comment ref="D10" authorId="0" shapeId="0" xr:uid="{00000000-0006-0000-0000-000003000000}">
      <text>
        <r>
          <rPr>
            <sz val="9"/>
            <color indexed="81"/>
            <rFont val="Tahoma"/>
            <family val="2"/>
            <charset val="204"/>
          </rPr>
          <t>Higher strike by strike+1</t>
        </r>
      </text>
    </comment>
    <comment ref="D11" authorId="0" shapeId="0" xr:uid="{00000000-0006-0000-0000-000004000000}">
      <text>
        <r>
          <rPr>
            <sz val="9"/>
            <color indexed="81"/>
            <rFont val="Tahoma"/>
            <family val="2"/>
            <charset val="204"/>
          </rPr>
          <t>ATM Strike by strike~0</t>
        </r>
      </text>
    </comment>
    <comment ref="D12" authorId="0" shapeId="0" xr:uid="{00000000-0006-0000-0000-000005000000}">
      <text>
        <r>
          <rPr>
            <sz val="9"/>
            <color indexed="81"/>
            <rFont val="Tahoma"/>
            <family val="2"/>
            <charset val="204"/>
          </rPr>
          <t>Lower strike by strike-1</t>
        </r>
      </text>
    </comment>
    <comment ref="D13" authorId="0" shapeId="0" xr:uid="{00000000-0006-0000-0000-000006000000}">
      <text>
        <r>
          <rPr>
            <sz val="9"/>
            <color indexed="81"/>
            <rFont val="Tahoma"/>
            <family val="2"/>
            <charset val="204"/>
          </rPr>
          <t>Lower strike by strike-1</t>
        </r>
      </text>
    </comment>
    <comment ref="D18" authorId="0" shapeId="0" xr:uid="{00000000-0006-0000-0000-000007000000}">
      <text>
        <r>
          <rPr>
            <sz val="9"/>
            <color indexed="81"/>
            <rFont val="Tahoma"/>
            <family val="2"/>
            <charset val="204"/>
          </rPr>
          <t>Higher strike by strike+1</t>
        </r>
      </text>
    </comment>
    <comment ref="D19" authorId="0" shapeId="0" xr:uid="{00000000-0006-0000-0000-000008000000}">
      <text>
        <r>
          <rPr>
            <sz val="9"/>
            <color indexed="81"/>
            <rFont val="Tahoma"/>
            <family val="2"/>
            <charset val="204"/>
          </rPr>
          <t>Higher strike by strike+1</t>
        </r>
      </text>
    </comment>
    <comment ref="D20" authorId="0" shapeId="0" xr:uid="{00000000-0006-0000-0000-000009000000}">
      <text>
        <r>
          <rPr>
            <sz val="9"/>
            <color indexed="81"/>
            <rFont val="Tahoma"/>
            <family val="2"/>
            <charset val="204"/>
          </rPr>
          <t>ATM Strike by strike~0</t>
        </r>
      </text>
    </comment>
    <comment ref="D21" authorId="0" shapeId="0" xr:uid="{00000000-0006-0000-0000-00000A000000}">
      <text>
        <r>
          <rPr>
            <sz val="9"/>
            <color indexed="81"/>
            <rFont val="Tahoma"/>
            <family val="2"/>
            <charset val="204"/>
          </rPr>
          <t>Lower strike by strike-1</t>
        </r>
      </text>
    </comment>
    <comment ref="D22" authorId="0" shapeId="0" xr:uid="{00000000-0006-0000-0000-00000B000000}">
      <text>
        <r>
          <rPr>
            <sz val="9"/>
            <color indexed="81"/>
            <rFont val="Tahoma"/>
            <family val="2"/>
            <charset val="204"/>
          </rPr>
          <t>Lower strike by strike-1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C4" authorId="0" shapeId="0" xr:uid="{45E882CC-6582-426B-B45D-3EBEFEC1FF00}">
      <text>
        <r>
          <rPr>
            <sz val="9"/>
            <color indexed="81"/>
            <rFont val="Tahoma"/>
            <family val="2"/>
            <charset val="204"/>
          </rPr>
          <t>Last price.
The price is used to find ATM strike by the strike-0 field.</t>
        </r>
      </text>
    </comment>
    <comment ref="C6" authorId="0" shapeId="0" xr:uid="{FEC83FAC-7559-4E40-89D5-3C4A02911F78}">
      <text>
        <r>
          <rPr>
            <sz val="9"/>
            <color indexed="81"/>
            <rFont val="Tahoma"/>
            <family val="2"/>
            <charset val="204"/>
          </rPr>
          <t xml:space="preserve">The date to get expiration dates
</t>
        </r>
      </text>
    </comment>
    <comment ref="D6" authorId="0" shapeId="0" xr:uid="{B7BEF185-552C-48B0-A9A4-977A4A28F3A9}">
      <text>
        <r>
          <rPr>
            <sz val="9"/>
            <color indexed="81"/>
            <rFont val="Tahoma"/>
            <family val="2"/>
            <charset val="204"/>
          </rPr>
          <t>Data field</t>
        </r>
      </text>
    </comment>
    <comment ref="F6" authorId="0" shapeId="0" xr:uid="{8AA92DAC-D1D1-4C41-812F-E06CDBABCB01}">
      <text>
        <r>
          <rPr>
            <sz val="9"/>
            <color indexed="81"/>
            <rFont val="Tahoma"/>
            <family val="2"/>
            <charset val="204"/>
          </rPr>
          <t>The date to get strikes</t>
        </r>
      </text>
    </comment>
    <comment ref="B9" authorId="0" shapeId="0" xr:uid="{5A6A5CF7-E505-4F72-929D-F3794450E969}">
      <text>
        <r>
          <rPr>
            <sz val="9"/>
            <color indexed="81"/>
            <rFont val="Tahoma"/>
            <family val="2"/>
            <charset val="204"/>
          </rPr>
          <t>Higher strike by strike+1</t>
        </r>
      </text>
    </comment>
    <comment ref="B10" authorId="0" shapeId="0" xr:uid="{A1D8AA9F-26AA-47A4-909C-C650A64E8F9C}">
      <text>
        <r>
          <rPr>
            <sz val="9"/>
            <color indexed="81"/>
            <rFont val="Tahoma"/>
            <family val="2"/>
            <charset val="204"/>
          </rPr>
          <t>Higher strike by strike+1</t>
        </r>
      </text>
    </comment>
    <comment ref="B11" authorId="0" shapeId="0" xr:uid="{B1570055-7234-4E13-AB52-7E0A8E4AFABB}">
      <text>
        <r>
          <rPr>
            <sz val="9"/>
            <color indexed="81"/>
            <rFont val="Tahoma"/>
            <family val="2"/>
            <charset val="204"/>
          </rPr>
          <t>ATM Strike by strike~0</t>
        </r>
      </text>
    </comment>
    <comment ref="B12" authorId="0" shapeId="0" xr:uid="{65DB12CB-FD68-4A72-9B8D-5363D291296A}">
      <text>
        <r>
          <rPr>
            <sz val="9"/>
            <color indexed="81"/>
            <rFont val="Tahoma"/>
            <family val="2"/>
            <charset val="204"/>
          </rPr>
          <t>Lower strike by strike-1</t>
        </r>
      </text>
    </comment>
    <comment ref="B13" authorId="0" shapeId="0" xr:uid="{C2891675-10CE-402A-B5EB-E8BC1B722739}">
      <text>
        <r>
          <rPr>
            <sz val="9"/>
            <color indexed="81"/>
            <rFont val="Tahoma"/>
            <family val="2"/>
            <charset val="204"/>
          </rPr>
          <t>Lower strike by strike-1</t>
        </r>
      </text>
    </comment>
    <comment ref="B18" authorId="0" shapeId="0" xr:uid="{38E3DFB1-42FD-4C8A-88D3-9FD5F3AC87A8}">
      <text>
        <r>
          <rPr>
            <sz val="9"/>
            <color indexed="81"/>
            <rFont val="Tahoma"/>
            <family val="2"/>
            <charset val="204"/>
          </rPr>
          <t>Higher strike by strike+1</t>
        </r>
      </text>
    </comment>
    <comment ref="B19" authorId="0" shapeId="0" xr:uid="{1F422B45-8FA5-40FD-A2E5-0A73CB6432EB}">
      <text>
        <r>
          <rPr>
            <sz val="9"/>
            <color indexed="81"/>
            <rFont val="Tahoma"/>
            <family val="2"/>
            <charset val="204"/>
          </rPr>
          <t>Higher strike by strike+1</t>
        </r>
      </text>
    </comment>
    <comment ref="B20" authorId="0" shapeId="0" xr:uid="{45322B76-7039-45FD-99B0-1C528C673E67}">
      <text>
        <r>
          <rPr>
            <sz val="9"/>
            <color indexed="81"/>
            <rFont val="Tahoma"/>
            <family val="2"/>
            <charset val="204"/>
          </rPr>
          <t>ATM Strike by strike~0</t>
        </r>
      </text>
    </comment>
    <comment ref="B21" authorId="0" shapeId="0" xr:uid="{FD61FA22-EB05-49EC-A062-216C21288552}">
      <text>
        <r>
          <rPr>
            <sz val="9"/>
            <color indexed="81"/>
            <rFont val="Tahoma"/>
            <family val="2"/>
            <charset val="204"/>
          </rPr>
          <t>Lower strike by strike-1</t>
        </r>
      </text>
    </comment>
    <comment ref="B22" authorId="0" shapeId="0" xr:uid="{E417528A-1895-4076-B2E4-F7C2774F6405}">
      <text>
        <r>
          <rPr>
            <sz val="9"/>
            <color indexed="81"/>
            <rFont val="Tahoma"/>
            <family val="2"/>
            <charset val="204"/>
          </rPr>
          <t>Lower strike by strike-1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C1" authorId="0" shapeId="0" xr:uid="{4158E7B3-08E1-47AB-A30C-BCA4A22A1E44}">
      <text>
        <r>
          <rPr>
            <sz val="9"/>
            <color indexed="81"/>
            <rFont val="Tahoma"/>
            <family val="2"/>
            <charset val="204"/>
          </rPr>
          <t xml:space="preserve">The date to get expiration dates
</t>
        </r>
      </text>
    </comment>
  </commentList>
</comments>
</file>

<file path=xl/sharedStrings.xml><?xml version="1.0" encoding="utf-8"?>
<sst xmlns="http://schemas.openxmlformats.org/spreadsheetml/2006/main" count="155" uniqueCount="50">
  <si>
    <t>CALL</t>
  </si>
  <si>
    <t>Last</t>
  </si>
  <si>
    <t>Low</t>
  </si>
  <si>
    <t>High</t>
  </si>
  <si>
    <t>Change</t>
  </si>
  <si>
    <t>Stike</t>
  </si>
  <si>
    <t>Mark</t>
  </si>
  <si>
    <t>Bid</t>
  </si>
  <si>
    <t>Ask</t>
  </si>
  <si>
    <t>Volume</t>
  </si>
  <si>
    <t>OpenInt</t>
  </si>
  <si>
    <t>Symbol</t>
  </si>
  <si>
    <t>ExpDate</t>
  </si>
  <si>
    <t>OptionType</t>
  </si>
  <si>
    <t>PUT</t>
  </si>
  <si>
    <t>OptionCode</t>
  </si>
  <si>
    <t>rtd_LastMessage</t>
  </si>
  <si>
    <t>rtd_LastError</t>
  </si>
  <si>
    <t>All the values are refreshed automatically every 15 minutes. Try to change the symbol and the expiration dates in the yellow cells. You may build your models using formulas as examples.</t>
  </si>
  <si>
    <t>ChangePercent</t>
  </si>
  <si>
    <t>ImpVol</t>
  </si>
  <si>
    <t>LastTradeTime</t>
  </si>
  <si>
    <t>rtd_LastUpdateTime</t>
  </si>
  <si>
    <t>rtd_LastUpdateDate</t>
  </si>
  <si>
    <t>rtd_LastUpdate</t>
  </si>
  <si>
    <t>PercentChange</t>
  </si>
  <si>
    <t>Type</t>
  </si>
  <si>
    <t>Strike</t>
  </si>
  <si>
    <t>OptionSymbol</t>
  </si>
  <si>
    <t>Code</t>
  </si>
  <si>
    <t>AAPL</t>
  </si>
  <si>
    <t>Calendar</t>
  </si>
  <si>
    <t>If you see #N/A in formulas, save the workbook to a trusted location like the Desktop</t>
  </si>
  <si>
    <t>If you see #N/A in formulas,</t>
  </si>
  <si>
    <t>save the workbook to a trusted location like the Desktop</t>
  </si>
  <si>
    <t>Exp dates</t>
  </si>
  <si>
    <t>Strikes</t>
  </si>
  <si>
    <t>Exp Date</t>
  </si>
  <si>
    <t>Exp date list formula:</t>
  </si>
  <si>
    <t>Strike list formula:</t>
  </si>
  <si>
    <t>=OFFSET($C$10,0,0,COUNTIF($C$10:$C$59,"&gt;0"),1)</t>
  </si>
  <si>
    <t>ChangeInPercent</t>
  </si>
  <si>
    <t>=OFFSET($D$10,0,0,COUNTIF($D$10:$D$59,"&gt;0"),1)</t>
  </si>
  <si>
    <t>Stock Last</t>
  </si>
  <si>
    <t>Jan17'25</t>
  </si>
  <si>
    <t>AAPL260116C00150000</t>
  </si>
  <si>
    <t>AAPL260116C00200000</t>
  </si>
  <si>
    <t>Jan16'26</t>
  </si>
  <si>
    <t>AAPL270115C00150000</t>
  </si>
  <si>
    <t>AAPL270115C00200000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</si>
</sst>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F400]h:mm:ss\ AM/PM"/>
    <numFmt numFmtId="165" formatCode="[$-409]m/d/yy\ h:mm\ AM/PM;@"/>
    <numFmt numFmtId="166" formatCode="[Color10]\+0.00;[Red]\-0.00;0.00"/>
    <numFmt numFmtId="167" formatCode="[$-409]dd/mm/yy\ h:mm\ AM/PM;@"/>
  </numFmts>
  <fonts count="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1"/>
      <color theme="1"/>
      <name val="Calibri"/>
      <family val="2"/>
      <charset val="204"/>
      <scheme val="minor"/>
    </font>
    <font>
      <sz val="9"/>
      <color indexed="81"/>
      <name val="Tahoma"/>
      <family val="2"/>
      <charset val="204"/>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
    <border>
      <left/>
      <right/>
      <top/>
      <bottom/>
      <diagonal/>
    </border>
  </borders>
  <cellStyleXfs count="11">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3">
    <xf numFmtId="0" fontId="0" fillId="0" borderId="0" xfId="0"/>
    <xf numFmtId="14" fontId="0" fillId="0" borderId="0" xfId="0" applyNumberFormat="1"/>
    <xf numFmtId="4" fontId="0" fillId="0" borderId="0" xfId="0" applyNumberFormat="1"/>
    <xf numFmtId="2" fontId="0" fillId="0" borderId="0" xfId="0" applyNumberFormat="1"/>
    <xf numFmtId="0" fontId="3" fillId="0" borderId="0" xfId="0" applyFont="1" applyAlignment="1">
      <alignment horizontal="right"/>
    </xf>
    <xf numFmtId="0" fontId="0" fillId="2" borderId="0" xfId="0" applyFill="1"/>
    <xf numFmtId="0" fontId="3" fillId="3" borderId="0" xfId="0" applyFont="1" applyFill="1"/>
    <xf numFmtId="14" fontId="3" fillId="3" borderId="0" xfId="0" applyNumberFormat="1" applyFont="1" applyFill="1"/>
    <xf numFmtId="10" fontId="0" fillId="0" borderId="0" xfId="0" applyNumberFormat="1"/>
    <xf numFmtId="0" fontId="3" fillId="0" borderId="0" xfId="0" applyFont="1"/>
    <xf numFmtId="3" fontId="0" fillId="0" borderId="0" xfId="0" applyNumberFormat="1"/>
    <xf numFmtId="164" fontId="0" fillId="0" borderId="0" xfId="0" applyNumberFormat="1"/>
    <xf numFmtId="165" fontId="0" fillId="0" borderId="0" xfId="0" applyNumberFormat="1"/>
    <xf numFmtId="166" fontId="0" fillId="0" borderId="0" xfId="0" applyNumberFormat="1"/>
    <xf numFmtId="0" fontId="0" fillId="4" borderId="0" xfId="0" applyFill="1"/>
    <xf numFmtId="14" fontId="0" fillId="4" borderId="0" xfId="0" applyNumberFormat="1" applyFill="1"/>
    <xf numFmtId="167" fontId="0" fillId="0" borderId="0" xfId="0" applyNumberFormat="1"/>
    <xf numFmtId="0" fontId="3" fillId="3" borderId="0" xfId="0" applyFont="1" applyFill="1" applyAlignment="1">
      <alignment horizontal="right"/>
    </xf>
    <xf numFmtId="164" fontId="3" fillId="3" borderId="0" xfId="0" applyNumberFormat="1" applyFont="1" applyFill="1" applyAlignment="1">
      <alignment horizontal="center"/>
    </xf>
    <xf numFmtId="14" fontId="0" fillId="3" borderId="0" xfId="0" applyNumberFormat="1" applyFill="1"/>
    <xf numFmtId="0" fontId="0" fillId="0" borderId="0" xfId="0" quotePrefix="1"/>
    <xf numFmtId="0" fontId="0" fillId="3" borderId="0" xfId="0" applyFill="1"/>
    <xf numFmtId="4" fontId="0" fillId="2" borderId="0" xfId="0" applyNumberFormat="1" applyFill="1"/>
  </cellXfs>
  <cellStyles count="11">
    <cellStyle name="Normal" xfId="0" builtinId="0"/>
    <cellStyle name="Normal 2" xfId="1" xr:uid="{00000000-0005-0000-0000-000001000000}"/>
    <cellStyle name="Normal 2 2" xfId="2" xr:uid="{00000000-0005-0000-0000-000002000000}"/>
    <cellStyle name="Normal 2 2 2" xfId="3" xr:uid="{00000000-0005-0000-0000-000003000000}"/>
    <cellStyle name="Normal 2 2 3" xfId="4" xr:uid="{00000000-0005-0000-0000-000004000000}"/>
    <cellStyle name="Normal 2 3" xfId="5" xr:uid="{00000000-0005-0000-0000-000005000000}"/>
    <cellStyle name="Normal 2 4" xfId="6" xr:uid="{00000000-0005-0000-0000-000006000000}"/>
    <cellStyle name="Normal 2 5" xfId="7" xr:uid="{00000000-0005-0000-0000-000007000000}"/>
    <cellStyle name="Normal 2 6" xfId="8" xr:uid="{00000000-0005-0000-0000-000008000000}"/>
    <cellStyle name="Normal 3" xfId="9" xr:uid="{00000000-0005-0000-0000-000009000000}"/>
    <cellStyle name="Обычный 2" xfId="10" xr:uid="{00000000-0005-0000-0000-00000A000000}"/>
  </cellStyles>
  <dxfs count="49">
    <dxf>
      <numFmt numFmtId="3" formatCode="#,##0"/>
    </dxf>
    <dxf>
      <numFmt numFmtId="168" formatCode="0.0%"/>
    </dxf>
    <dxf>
      <numFmt numFmtId="3" formatCode="#,##0"/>
    </dxf>
    <dxf>
      <numFmt numFmtId="168" formatCode="0.0%"/>
    </dxf>
    <dxf>
      <numFmt numFmtId="2" formatCode="0.00"/>
    </dxf>
    <dxf>
      <numFmt numFmtId="2" formatCode="0.00"/>
    </dxf>
    <dxf>
      <numFmt numFmtId="2" formatCode="0.00"/>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9"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fill>
        <patternFill patternType="solid">
          <fgColor indexed="64"/>
          <bgColor theme="0" tint="-4.9989318521683403E-2"/>
        </patternFill>
      </fill>
    </dxf>
    <dxf>
      <fill>
        <patternFill patternType="solid">
          <fgColor indexed="64"/>
          <bgColor theme="0" tint="-4.9989318521683403E-2"/>
        </patternFill>
      </fill>
    </dxf>
    <dxf>
      <numFmt numFmtId="19" formatCode="dd/mm/yyyy"/>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9"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numFmt numFmtId="19" formatCode="dd/mm/yyyy"/>
    </dxf>
    <dxf>
      <numFmt numFmtId="0" formatCode="General"/>
    </dxf>
    <dxf>
      <numFmt numFmtId="0" formatCode="General"/>
    </dxf>
    <dxf>
      <numFmt numFmtId="0" formatCode="General"/>
    </dxf>
    <dxf>
      <fill>
        <patternFill patternType="solid">
          <fgColor indexed="64"/>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market.rtd">
      <tp>
        <v>6226</v>
        <stp/>
        <stp>YahooFinanceOptions</stp>
        <stp>AAPL</stp>
        <stp>46191</stp>
        <stp>210</stp>
        <stp>CALL</stp>
        <stp>OpenInt</stp>
        <tr r="R9" s="7"/>
      </tp>
      <tp>
        <v>2314</v>
        <stp/>
        <stp>YahooFinanceOptions</stp>
        <stp>AAPL</stp>
        <stp>45884</stp>
        <stp>205</stp>
        <stp>CALL</stp>
        <stp>OpenInt</stp>
        <tr r="K10" s="7"/>
      </tp>
      <tp>
        <v>922</v>
        <stp/>
        <stp>YahooFinanceOptions</stp>
        <stp>AAPL</stp>
        <stp>45814</stp>
        <stp>195</stp>
        <stp>CALL</stp>
        <stp>OpenInt</stp>
        <tr r="F12" s="7"/>
      </tp>
      <tp>
        <v>2759</v>
        <stp/>
        <stp>YahooFinanceOptions</stp>
        <stp>AAPL</stp>
        <stp>46010</stp>
        <stp>190</stp>
        <stp>CALL</stp>
        <stp>OpenInt</stp>
        <tr r="O13" s="7"/>
      </tp>
      <tp>
        <v>88</v>
        <stp/>
        <stp>YahooFinanceOptions</stp>
        <stp>AAPL</stp>
        <stp>45982</stp>
        <stp>200</stp>
        <stp>CALL</stp>
        <stp>OpenInt</stp>
        <tr r="N11" s="7"/>
      </tp>
      <tp>
        <v>2404</v>
        <stp/>
        <stp>YahooFinanceOptions</stp>
        <stp>AAPL</stp>
        <stp>46010</stp>
        <stp>195</stp>
        <stp>CALL</stp>
        <stp>OpenInt</stp>
        <tr r="O12" s="7"/>
      </tp>
      <tp>
        <v>3004</v>
        <stp/>
        <stp>YahooFinanceOptions</stp>
        <stp>AAPL</stp>
        <stp>45884</stp>
        <stp>200</stp>
        <stp>CALL</stp>
        <stp>OpenInt</stp>
        <tr r="K11" s="7"/>
      </tp>
      <tp>
        <v>259</v>
        <stp/>
        <stp>YahooFinanceOptions</stp>
        <stp>AAPL</stp>
        <stp>45814</stp>
        <stp>190</stp>
        <stp>CALL</stp>
        <stp>OpenInt</stp>
        <tr r="F13" s="7"/>
      </tp>
      <tp>
        <v>104</v>
        <stp/>
        <stp>YahooFinanceOptions</stp>
        <stp>AAPL</stp>
        <stp>45982</stp>
        <stp>205</stp>
        <stp>CALL</stp>
        <stp>OpenInt</stp>
        <tr r="N10" s="7"/>
      </tp>
      <tp>
        <v>2283</v>
        <stp/>
        <stp>YahooFinanceOptions</stp>
        <stp>AAPL</stp>
        <stp>45919</stp>
        <stp>190</stp>
        <stp>CALL</stp>
        <stp>OpenInt</stp>
        <tr r="L13" s="7"/>
      </tp>
      <tp>
        <v>2352</v>
        <stp/>
        <stp>YahooFinanceOptions</stp>
        <stp>AAPL</stp>
        <stp>45919</stp>
        <stp>195</stp>
        <stp>CALL</stp>
        <stp>OpenInt</stp>
        <tr r="L12" s="7"/>
      </tp>
      <tp>
        <v>4936</v>
        <stp/>
        <stp>YahooFinanceOptions</stp>
        <stp>AAPL</stp>
        <stp>46191</stp>
        <stp>200</stp>
        <stp>CALL</stp>
        <stp>OpenInt</stp>
        <tr r="R11" s="7"/>
      </tp>
      <tp>
        <v>803</v>
        <stp/>
        <stp>YahooFinanceOptions</stp>
        <stp>AAPL</stp>
        <stp>46101</stp>
        <stp>190</stp>
        <stp>CALL</stp>
        <stp>OpenInt</stp>
        <tr r="Q13" s="7"/>
      </tp>
      <tp>
        <v>1216</v>
        <stp/>
        <stp>YahooFinanceOptions</stp>
        <stp>AAPL</stp>
        <stp>45800</stp>
        <stp>190</stp>
        <stp>CALL</stp>
        <stp>OpenInt</stp>
        <tr r="D13" s="7"/>
      </tp>
      <tp>
        <v>298</v>
        <stp/>
        <stp>YahooFinanceOptions</stp>
        <stp>AAPL</stp>
        <stp>45982</stp>
        <stp>210</stp>
        <stp>CALL</stp>
        <stp>OpenInt</stp>
        <tr r="N9" s="7"/>
      </tp>
      <tp>
        <v>2017</v>
        <stp/>
        <stp>YahooFinanceOptions</stp>
        <stp>AAPL</stp>
        <stp>45807</stp>
        <stp>195</stp>
        <stp>CALL</stp>
        <stp>OpenInt</stp>
        <tr r="E12" s="7"/>
      </tp>
      <tp>
        <v>861</v>
        <stp/>
        <stp>YahooFinanceOptions</stp>
        <stp>AAPL</stp>
        <stp>45800</stp>
        <stp>195</stp>
        <stp>CALL</stp>
        <stp>OpenInt</stp>
        <tr r="D12" s="7"/>
      </tp>
      <tp>
        <v>3407</v>
        <stp/>
        <stp>YahooFinanceOptions</stp>
        <stp>AAPL</stp>
        <stp>46191</stp>
        <stp>205</stp>
        <stp>CALL</stp>
        <stp>OpenInt</stp>
        <tr r="R10" s="7"/>
      </tp>
      <tp>
        <v>1752</v>
        <stp/>
        <stp>YahooFinanceOptions</stp>
        <stp>AAPL</stp>
        <stp>46101</stp>
        <stp>195</stp>
        <stp>CALL</stp>
        <stp>OpenInt</stp>
        <tr r="Q12" s="7"/>
      </tp>
      <tp>
        <v>6743</v>
        <stp/>
        <stp>YahooFinanceOptions</stp>
        <stp>AAPL</stp>
        <stp>45884</stp>
        <stp>210</stp>
        <stp>CALL</stp>
        <stp>OpenInt</stp>
        <tr r="K9" s="7"/>
      </tp>
      <tp>
        <v>707</v>
        <stp/>
        <stp>YahooFinanceOptions</stp>
        <stp>AAPL</stp>
        <stp>45807</stp>
        <stp>190</stp>
        <stp>CALL</stp>
        <stp>OpenInt</stp>
        <tr r="E13" s="7"/>
      </tp>
      <tp>
        <v>190</v>
        <stp/>
        <stp>YahooFinanceOptions</stp>
        <stp>AAPL</stp>
        <stp>46038</stp>
        <stp>195</stp>
        <stp>PUT</stp>
        <stp>Strike-1</stp>
        <tr r="D22" s="3"/>
      </tp>
      <tp>
        <v>45982</v>
        <stp/>
        <stp>YahooFinanceOptions</stp>
        <stp>AAPL</stp>
        <stp>46038</stp>
        <stp>200</stp>
        <stp>CALL</stp>
        <stp>ExpDate11</stp>
        <tr r="N8" s="7"/>
      </tp>
      <tp>
        <v>45947</v>
        <stp/>
        <stp>YahooFinanceOptions</stp>
        <stp>AAPL</stp>
        <stp>46038</stp>
        <stp>200</stp>
        <stp>CALL</stp>
        <stp>ExpDate10</stp>
        <tr r="M8" s="7"/>
      </tp>
      <tp>
        <v>46038</v>
        <stp/>
        <stp>YahooFinanceOptions</stp>
        <stp>AAPL</stp>
        <stp>46038</stp>
        <stp>200</stp>
        <stp>CALL</stp>
        <stp>ExpDate13</stp>
        <tr r="P8" s="7"/>
      </tp>
      <tp>
        <v>46010</v>
        <stp/>
        <stp>YahooFinanceOptions</stp>
        <stp>AAPL</stp>
        <stp>46038</stp>
        <stp>200</stp>
        <stp>CALL</stp>
        <stp>ExpDate12</stp>
        <tr r="O8" s="7"/>
      </tp>
      <tp>
        <v>46191</v>
        <stp/>
        <stp>YahooFinanceOptions</stp>
        <stp>AAPL</stp>
        <stp>46038</stp>
        <stp>200</stp>
        <stp>CALL</stp>
        <stp>ExpDate15</stp>
        <tr r="R8" s="7"/>
      </tp>
      <tp>
        <v>46101</v>
        <stp/>
        <stp>YahooFinanceOptions</stp>
        <stp>AAPL</stp>
        <stp>46038</stp>
        <stp>200</stp>
        <stp>CALL</stp>
        <stp>ExpDate14</stp>
        <tr r="Q8" s="7"/>
      </tp>
      <tp>
        <v>411</v>
        <stp/>
        <stp>YahooFinanceOptions</stp>
        <stp>AAPL</stp>
        <stp>45835</stp>
        <stp>195</stp>
        <stp>CALL</stp>
        <stp>OpenInt</stp>
        <tr r="I12" s="7"/>
      </tp>
      <tp>
        <v>468</v>
        <stp/>
        <stp>YahooFinanceOptions</stp>
        <stp>AAPL</stp>
        <stp>45835</stp>
        <stp>190</stp>
        <stp>CALL</stp>
        <stp>OpenInt</stp>
        <tr r="I13" s="7"/>
      </tp>
      <tp>
        <v>4856</v>
        <stp/>
        <stp>YahooFinanceOptions</stp>
        <stp>AAPL</stp>
        <stp>46038</stp>
        <stp>190</stp>
        <stp>CALL</stp>
        <stp>OpenInt</stp>
        <tr r="P13" s="7"/>
        <tr r="N13" s="3"/>
      </tp>
      <tp>
        <v>6528</v>
        <stp/>
        <stp>YahooFinanceOptions</stp>
        <stp>AAPL</stp>
        <stp>46038</stp>
        <stp>195</stp>
        <stp>CALL</stp>
        <stp>OpenInt</stp>
        <tr r="P12" s="7"/>
        <tr r="N12" s="3"/>
      </tp>
      <tp>
        <v>250</v>
        <stp/>
        <stp>YahooFinanceOptions</stp>
        <stp>AAPL</stp>
        <stp>45821</stp>
        <stp>190</stp>
        <stp>CALL</stp>
        <stp>OpenInt</stp>
        <tr r="G13" s="7"/>
      </tp>
      <tp>
        <v>1502</v>
        <stp/>
        <stp>YahooFinanceOptions</stp>
        <stp>AAPL</stp>
        <stp>45821</stp>
        <stp>195</stp>
        <stp>CALL</stp>
        <stp>OpenInt</stp>
        <tr r="G12" s="7"/>
      </tp>
      <tp>
        <v>11665</v>
        <stp/>
        <stp>YahooFinanceOptions</stp>
        <stp>AAPL</stp>
        <stp>45828</stp>
        <stp>190</stp>
        <stp>CALL</stp>
        <stp>OpenInt</stp>
        <tr r="H13" s="7"/>
      </tp>
      <tp>
        <v>15607</v>
        <stp/>
        <stp>YahooFinanceOptions</stp>
        <stp>AAPL</stp>
        <stp>45828</stp>
        <stp>195</stp>
        <stp>CALL</stp>
        <stp>OpenInt</stp>
        <tr r="H12" s="7"/>
      </tp>
      <tp>
        <v>190</v>
        <stp/>
        <stp>YahooFinanceOptions</stp>
        <stp>AAPL</stp>
        <stp>46038</stp>
        <stp>195</stp>
        <stp>CALL</stp>
        <stp>Strike-1</stp>
        <tr r="B22" s="7"/>
        <tr r="B13" s="7"/>
        <tr r="D13" s="3"/>
      </tp>
      <tp>
        <v>220</v>
        <stp/>
        <stp>YahooFinanceOptions</stp>
        <stp>AAPL</stp>
        <stp>46038</stp>
        <stp>215</stp>
        <stp>CALL</stp>
        <stp>Strike+1</stp>
        <tr r="E54" s="8"/>
      </tp>
      <tp>
        <v>210</v>
        <stp/>
        <stp>YahooFinanceOptions</stp>
        <stp>AAPL</stp>
        <stp>46038</stp>
        <stp>205</stp>
        <stp>CALL</stp>
        <stp>Strike+1</stp>
        <tr r="B9" s="7"/>
        <tr r="B18" s="7"/>
        <tr r="D9" s="3"/>
        <tr r="E52" s="8"/>
      </tp>
      <tp>
        <v>240</v>
        <stp/>
        <stp>YahooFinanceOptions</stp>
        <stp>AAPL</stp>
        <stp>46038</stp>
        <stp>235</stp>
        <stp>CALL</stp>
        <stp>Strike+1</stp>
        <tr r="E58" s="8"/>
      </tp>
      <tp>
        <v>230</v>
        <stp/>
        <stp>YahooFinanceOptions</stp>
        <stp>AAPL</stp>
        <stp>46038</stp>
        <stp>225</stp>
        <stp>CALL</stp>
        <stp>Strike+1</stp>
        <tr r="E56" s="8"/>
      </tp>
      <tp>
        <v>160</v>
        <stp/>
        <stp>YahooFinanceOptions</stp>
        <stp>AAPL</stp>
        <stp>46038</stp>
        <stp>155</stp>
        <stp>CALL</stp>
        <stp>Strike+1</stp>
        <tr r="E42" s="8"/>
      </tp>
      <tp>
        <v>150</v>
        <stp/>
        <stp>YahooFinanceOptions</stp>
        <stp>AAPL</stp>
        <stp>46038</stp>
        <stp>145</stp>
        <stp>CALL</stp>
        <stp>Strike+1</stp>
        <tr r="E40" s="8"/>
      </tp>
      <tp>
        <v>180</v>
        <stp/>
        <stp>YahooFinanceOptions</stp>
        <stp>AAPL</stp>
        <stp>46038</stp>
        <stp>175</stp>
        <stp>CALL</stp>
        <stp>Strike+1</stp>
        <tr r="E46" s="8"/>
      </tp>
      <tp>
        <v>170</v>
        <stp/>
        <stp>YahooFinanceOptions</stp>
        <stp>AAPL</stp>
        <stp>46038</stp>
        <stp>165</stp>
        <stp>CALL</stp>
        <stp>Strike+1</stp>
        <tr r="E44" s="8"/>
      </tp>
      <tp>
        <v>120</v>
        <stp/>
        <stp>YahooFinanceOptions</stp>
        <stp>AAPL</stp>
        <stp>46038</stp>
        <stp>115</stp>
        <stp>CALL</stp>
        <stp>Strike+1</stp>
        <tr r="E34" s="8"/>
      </tp>
      <tp>
        <v>110</v>
        <stp/>
        <stp>YahooFinanceOptions</stp>
        <stp>AAPL</stp>
        <stp>46038</stp>
        <stp>105</stp>
        <stp>CALL</stp>
        <stp>Strike+1</stp>
        <tr r="E32" s="8"/>
      </tp>
      <tp>
        <v>140</v>
        <stp/>
        <stp>YahooFinanceOptions</stp>
        <stp>AAPL</stp>
        <stp>46038</stp>
        <stp>135</stp>
        <stp>CALL</stp>
        <stp>Strike+1</stp>
        <tr r="E38" s="8"/>
      </tp>
      <tp>
        <v>130</v>
        <stp/>
        <stp>YahooFinanceOptions</stp>
        <stp>AAPL</stp>
        <stp>46038</stp>
        <stp>125</stp>
        <stp>CALL</stp>
        <stp>Strike+1</stp>
        <tr r="E36" s="8"/>
      </tp>
      <tp>
        <v>200</v>
        <stp/>
        <stp>YahooFinanceOptions</stp>
        <stp>AAPL</stp>
        <stp>46038</stp>
        <stp>195</stp>
        <stp>CALL</stp>
        <stp>Strike+1</stp>
        <tr r="E50" s="8"/>
      </tp>
      <tp>
        <v>190</v>
        <stp/>
        <stp>YahooFinanceOptions</stp>
        <stp>AAPL</stp>
        <stp>46038</stp>
        <stp>185</stp>
        <stp>CALL</stp>
        <stp>Strike+1</stp>
        <tr r="E48" s="8"/>
      </tp>
      <tp>
        <v>2318</v>
        <stp/>
        <stp>YahooFinanceOptions</stp>
        <stp>AAPL</stp>
        <stp>45856</stp>
        <stp>195</stp>
        <stp>CALL</stp>
        <stp>OpenInt</stp>
        <tr r="J12" s="7"/>
      </tp>
      <tp>
        <v>1588</v>
        <stp/>
        <stp>YahooFinanceOptions</stp>
        <stp>AAPL</stp>
        <stp>45856</stp>
        <stp>190</stp>
        <stp>CALL</stp>
        <stp>OpenInt</stp>
        <tr r="J13" s="7"/>
      </tp>
      <tp>
        <v>0</v>
        <stp/>
        <stp>YahooFinanceOptions</stp>
        <stp>AAPL260116C00200000</stp>
        <stp>Mark</stp>
        <tr r="L5" s="4"/>
      </tp>
      <tp>
        <v>23.8</v>
        <stp/>
        <stp>YahooFinanceOptions</stp>
        <stp>AAPL260116C00200000</stp>
        <stp>Last</stp>
        <tr r="I5" s="4"/>
      </tp>
      <tp>
        <v>859</v>
        <stp/>
        <stp>YahooFinanceOptions</stp>
        <stp>AAPL</stp>
        <stp>45947</stp>
        <stp>195</stp>
        <stp>CALL</stp>
        <stp>OpenInt</stp>
        <tr r="M12" s="7"/>
      </tp>
      <tp>
        <v>638</v>
        <stp/>
        <stp>YahooFinanceOptions</stp>
        <stp>AAPL</stp>
        <stp>45947</stp>
        <stp>190</stp>
        <stp>CALL</stp>
        <stp>OpenInt</stp>
        <tr r="M13" s="7"/>
      </tp>
      <tp t="s">
        <v/>
        <stp/>
        <stp>YahooFinanceOptions</stp>
        <stp>AAPL</stp>
        <stp>46038</stp>
        <stp>205</stp>
        <stp>PUT</stp>
        <stp>rtd_LastMessage</stp>
        <tr r="T19" s="3"/>
      </tp>
      <tp t="s">
        <v/>
        <stp/>
        <stp>YahooFinanceOptions</stp>
        <stp>AAPL</stp>
        <stp>46038</stp>
        <stp>200</stp>
        <stp>PUT</stp>
        <stp>rtd_LastMessage</stp>
        <tr r="T20" s="3"/>
      </tp>
      <tp t="s">
        <v/>
        <stp/>
        <stp>YahooFinanceOptions</stp>
        <stp>AAPL</stp>
        <stp>46038</stp>
        <stp>210</stp>
        <stp>PUT</stp>
        <stp>rtd_LastMessage</stp>
        <tr r="T18" s="3"/>
      </tp>
      <tp>
        <v>45821</v>
        <stp/>
        <stp>YahooFinanceOptions</stp>
        <stp>AAPL</stp>
        <stp>46038</stp>
        <stp>0</stp>
        <stp>CALL</stp>
        <stp>ExpDate4</stp>
        <tr r="D14" s="8"/>
      </tp>
      <tp>
        <v>45828</v>
        <stp/>
        <stp>YahooFinanceOptions</stp>
        <stp>AAPL</stp>
        <stp>46038</stp>
        <stp>0</stp>
        <stp>CALL</stp>
        <stp>ExpDate5</stp>
        <tr r="D15" s="8"/>
      </tp>
      <tp>
        <v>45835</v>
        <stp/>
        <stp>YahooFinanceOptions</stp>
        <stp>AAPL</stp>
        <stp>46038</stp>
        <stp>0</stp>
        <stp>CALL</stp>
        <stp>ExpDate6</stp>
        <tr r="D16" s="8"/>
      </tp>
      <tp>
        <v>45856</v>
        <stp/>
        <stp>YahooFinanceOptions</stp>
        <stp>AAPL</stp>
        <stp>46038</stp>
        <stp>0</stp>
        <stp>CALL</stp>
        <stp>ExpDate7</stp>
        <tr r="D17" s="8"/>
      </tp>
      <tp>
        <v>45800</v>
        <stp/>
        <stp>YahooFinanceOptions</stp>
        <stp>AAPL</stp>
        <stp>46038</stp>
        <stp>0</stp>
        <stp>CALL</stp>
        <stp>ExpDate1</stp>
        <tr r="D11" s="8"/>
      </tp>
      <tp>
        <v>45807</v>
        <stp/>
        <stp>YahooFinanceOptions</stp>
        <stp>AAPL</stp>
        <stp>46038</stp>
        <stp>0</stp>
        <stp>CALL</stp>
        <stp>ExpDate2</stp>
        <tr r="D12" s="8"/>
      </tp>
      <tp>
        <v>45814</v>
        <stp/>
        <stp>YahooFinanceOptions</stp>
        <stp>AAPL</stp>
        <stp>46038</stp>
        <stp>0</stp>
        <stp>CALL</stp>
        <stp>ExpDate3</stp>
        <tr r="D13" s="8"/>
      </tp>
      <tp>
        <v>45884</v>
        <stp/>
        <stp>YahooFinanceOptions</stp>
        <stp>AAPL</stp>
        <stp>46038</stp>
        <stp>0</stp>
        <stp>CALL</stp>
        <stp>ExpDate8</stp>
        <tr r="D18" s="8"/>
      </tp>
      <tp>
        <v>45919</v>
        <stp/>
        <stp>YahooFinanceOptions</stp>
        <stp>AAPL</stp>
        <stp>46038</stp>
        <stp>0</stp>
        <stp>CALL</stp>
        <stp>ExpDate9</stp>
        <tr r="D19" s="8"/>
      </tp>
      <tp>
        <v>70.400000000000006</v>
        <stp/>
        <stp>YahooFinanceOptions</stp>
        <stp>AAPL270115C00150000</stp>
        <stp>Last</stp>
        <tr r="I6" s="4"/>
      </tp>
      <tp>
        <v>0</v>
        <stp/>
        <stp>YahooFinanceOptions</stp>
        <stp>AAPL270115C00150000</stp>
        <stp>Mark</stp>
        <tr r="L6" s="4"/>
      </tp>
      <tp t="s">
        <v/>
        <stp/>
        <stp>YahooFinanceOptions</stp>
        <stp>AAPL</stp>
        <stp>46038</stp>
        <stp>195</stp>
        <stp>PUT</stp>
        <stp>rtd_LastMessage</stp>
        <tr r="T21" s="3"/>
      </tp>
      <tp t="s">
        <v/>
        <stp/>
        <stp>YahooFinanceOptions</stp>
        <stp>AAPL</stp>
        <stp>46038</stp>
        <stp>190</stp>
        <stp>PUT</stp>
        <stp>rtd_LastMessage</stp>
        <tr r="T22" s="3"/>
      </tp>
      <tp>
        <v>195</v>
        <stp/>
        <stp>YahooFinanceOptions</stp>
        <stp>AAPL</stp>
        <stp>46038</stp>
        <stp>200</stp>
        <stp>CALL</stp>
        <stp>Strike-1</stp>
        <tr r="B12" s="7"/>
        <tr r="B21" s="7"/>
        <tr r="D12" s="3"/>
      </tp>
      <tp>
        <v>245</v>
        <stp/>
        <stp>YahooFinanceOptions</stp>
        <stp>AAPL</stp>
        <stp>46038</stp>
        <stp>240</stp>
        <stp>CALL</stp>
        <stp>Strike+1</stp>
        <tr r="E59" s="8"/>
      </tp>
      <tp>
        <v>215</v>
        <stp/>
        <stp>YahooFinanceOptions</stp>
        <stp>AAPL</stp>
        <stp>46038</stp>
        <stp>210</stp>
        <stp>CALL</stp>
        <stp>Strike+1</stp>
        <tr r="E53" s="8"/>
      </tp>
      <tp>
        <v>205</v>
        <stp/>
        <stp>YahooFinanceOptions</stp>
        <stp>AAPL</stp>
        <stp>46038</stp>
        <stp>200</stp>
        <stp>CALL</stp>
        <stp>Strike+1</stp>
        <tr r="B10" s="7"/>
        <tr r="B19" s="7"/>
        <tr r="D10" s="3"/>
        <tr r="E51" s="8"/>
      </tp>
      <tp>
        <v>235</v>
        <stp/>
        <stp>YahooFinanceOptions</stp>
        <stp>AAPL</stp>
        <stp>46038</stp>
        <stp>230</stp>
        <stp>CALL</stp>
        <stp>Strike+1</stp>
        <tr r="E57" s="8"/>
      </tp>
      <tp>
        <v>225</v>
        <stp/>
        <stp>YahooFinanceOptions</stp>
        <stp>AAPL</stp>
        <stp>46038</stp>
        <stp>220</stp>
        <stp>CALL</stp>
        <stp>Strike+1</stp>
        <tr r="E55" s="8"/>
      </tp>
      <tp>
        <v>155</v>
        <stp/>
        <stp>YahooFinanceOptions</stp>
        <stp>AAPL</stp>
        <stp>46038</stp>
        <stp>150</stp>
        <stp>CALL</stp>
        <stp>Strike+1</stp>
        <tr r="E41" s="8"/>
      </tp>
      <tp>
        <v>145</v>
        <stp/>
        <stp>YahooFinanceOptions</stp>
        <stp>AAPL</stp>
        <stp>46038</stp>
        <stp>140</stp>
        <stp>CALL</stp>
        <stp>Strike+1</stp>
        <tr r="E39" s="8"/>
      </tp>
      <tp>
        <v>175</v>
        <stp/>
        <stp>YahooFinanceOptions</stp>
        <stp>AAPL</stp>
        <stp>46038</stp>
        <stp>170</stp>
        <stp>CALL</stp>
        <stp>Strike+1</stp>
        <tr r="E45" s="8"/>
      </tp>
      <tp>
        <v>165</v>
        <stp/>
        <stp>YahooFinanceOptions</stp>
        <stp>AAPL</stp>
        <stp>46038</stp>
        <stp>160</stp>
        <stp>CALL</stp>
        <stp>Strike+1</stp>
        <tr r="E43" s="8"/>
      </tp>
      <tp>
        <v>115</v>
        <stp/>
        <stp>YahooFinanceOptions</stp>
        <stp>AAPL</stp>
        <stp>46038</stp>
        <stp>110</stp>
        <stp>CALL</stp>
        <stp>Strike+1</stp>
        <tr r="E33" s="8"/>
      </tp>
      <tp>
        <v>105</v>
        <stp/>
        <stp>YahooFinanceOptions</stp>
        <stp>AAPL</stp>
        <stp>46038</stp>
        <stp>100</stp>
        <stp>CALL</stp>
        <stp>Strike+1</stp>
        <tr r="E31" s="8"/>
      </tp>
      <tp>
        <v>135</v>
        <stp/>
        <stp>YahooFinanceOptions</stp>
        <stp>AAPL</stp>
        <stp>46038</stp>
        <stp>130</stp>
        <stp>CALL</stp>
        <stp>Strike+1</stp>
        <tr r="E37" s="8"/>
      </tp>
      <tp>
        <v>125</v>
        <stp/>
        <stp>YahooFinanceOptions</stp>
        <stp>AAPL</stp>
        <stp>46038</stp>
        <stp>120</stp>
        <stp>CALL</stp>
        <stp>Strike+1</stp>
        <tr r="E35" s="8"/>
      </tp>
      <tp>
        <v>195</v>
        <stp/>
        <stp>YahooFinanceOptions</stp>
        <stp>AAPL</stp>
        <stp>46038</stp>
        <stp>190</stp>
        <stp>CALL</stp>
        <stp>Strike+1</stp>
        <tr r="E49" s="8"/>
      </tp>
      <tp>
        <v>185</v>
        <stp/>
        <stp>YahooFinanceOptions</stp>
        <stp>AAPL</stp>
        <stp>46038</stp>
        <stp>180</stp>
        <stp>CALL</stp>
        <stp>Strike+1</stp>
        <tr r="E47" s="8"/>
      </tp>
      <tp>
        <v>0</v>
        <stp/>
        <stp>YahooFinanceOptions</stp>
        <stp>AAPL270115C00200000</stp>
        <stp>Mark</stp>
        <tr r="L7" s="4"/>
      </tp>
      <tp>
        <v>37.4</v>
        <stp/>
        <stp>YahooFinanceOptions</stp>
        <stp>AAPL270115C00200000</stp>
        <stp>Last</stp>
        <tr r="I7" s="4"/>
      </tp>
      <tp>
        <v>60.3</v>
        <stp/>
        <stp>YahooFinanceOptions</stp>
        <stp>AAPL260116C00150000</stp>
        <stp>Last</stp>
        <tr r="I4" s="4"/>
      </tp>
      <tp>
        <v>0</v>
        <stp/>
        <stp>YahooFinanceOptions</stp>
        <stp>AAPL260116C00150000</stp>
        <stp>Mark</stp>
        <tr r="L4" s="4"/>
      </tp>
      <tp t="s">
        <v>AAPL</v>
        <stp/>
        <stp>YahooFinanceOptions</stp>
        <stp>AAPL260116C00200000</stp>
        <stp>Symbol</stp>
        <tr r="D5" s="4"/>
      </tp>
      <tp t="s">
        <v>AAPL</v>
        <stp/>
        <stp>YahooFinanceOptions</stp>
        <stp>AAPL270115C00150000</stp>
        <stp>Symbol</stp>
        <tr r="D6" s="4"/>
      </tp>
      <tp t="s">
        <v>AAPL</v>
        <stp/>
        <stp>YahooFinanceOptions</stp>
        <stp>AAPL270115C00200000</stp>
        <stp>Symbol</stp>
        <tr r="D7" s="4"/>
      </tp>
      <tp t="s">
        <v>AAPL</v>
        <stp/>
        <stp>YahooFinanceOptions</stp>
        <stp>AAPL260116C00150000</stp>
        <stp>Symbol</stp>
        <tr r="D4" s="4"/>
      </tp>
      <tp>
        <v>207.04</v>
        <stp/>
        <stp>YahooFinanceQuotes</stp>
        <stp>AAPL</stp>
        <stp>High</stp>
        <tr r="G4" s="7"/>
        <tr r="G4" s="3"/>
      </tp>
      <tp>
        <v>3874</v>
        <stp/>
        <stp>YahooFinanceOptions</stp>
        <stp>AAPL</stp>
        <stp>46101</stp>
        <stp>200</stp>
        <stp>CALL</stp>
        <stp>OpenInt</stp>
        <tr r="Q11" s="7"/>
      </tp>
      <tp>
        <v>5225</v>
        <stp/>
        <stp>YahooFinanceOptions</stp>
        <stp>AAPL</stp>
        <stp>46191</stp>
        <stp>190</stp>
        <stp>CALL</stp>
        <stp>OpenInt</stp>
        <tr r="R13" s="7"/>
      </tp>
      <tp>
        <v>6473</v>
        <stp/>
        <stp>YahooFinanceOptions</stp>
        <stp>AAPL</stp>
        <stp>46010</stp>
        <stp>210</stp>
        <stp>CALL</stp>
        <stp>OpenInt</stp>
        <tr r="O9" s="7"/>
      </tp>
      <tp>
        <v>4160</v>
        <stp/>
        <stp>YahooFinanceOptions</stp>
        <stp>AAPL</stp>
        <stp>45800</stp>
        <stp>200</stp>
        <stp>CALL</stp>
        <stp>OpenInt</stp>
        <tr r="D11" s="7"/>
      </tp>
      <tp>
        <v>3740</v>
        <stp/>
        <stp>YahooFinanceOptions</stp>
        <stp>AAPL</stp>
        <stp>46402</stp>
        <stp>200</stp>
        <stp>CALL</stp>
        <stp>OpenInt</stp>
        <tr r="O7" s="5"/>
      </tp>
      <tp>
        <v>6355</v>
        <stp/>
        <stp>YahooFinanceOptions</stp>
        <stp>AAPL</stp>
        <stp>45807</stp>
        <stp>205</stp>
        <stp>CALL</stp>
        <stp>OpenInt</stp>
        <tr r="E10" s="7"/>
      </tp>
      <tp>
        <v>10068</v>
        <stp/>
        <stp>YahooFinanceOptions</stp>
        <stp>AAPL</stp>
        <stp>45800</stp>
        <stp>205</stp>
        <stp>CALL</stp>
        <stp>OpenInt</stp>
        <tr r="D10" s="7"/>
      </tp>
      <tp t="e">
        <v>#N/A</v>
        <stp/>
        <stp>YahooFinanceOptions</stp>
        <stp>AAPL</stp>
        <stp>46101</stp>
        <stp>205</stp>
        <stp>CALL</stp>
        <stp>OpenInt</stp>
        <tr r="Q10" s="7"/>
      </tp>
      <tp>
        <v>2184</v>
        <stp/>
        <stp>YahooFinanceOptions</stp>
        <stp>AAPL</stp>
        <stp>46191</stp>
        <stp>195</stp>
        <stp>CALL</stp>
        <stp>OpenInt</stp>
        <tr r="R12" s="7"/>
      </tp>
      <tp>
        <v>4454</v>
        <stp/>
        <stp>YahooFinanceOptions</stp>
        <stp>AAPL</stp>
        <stp>45814</stp>
        <stp>210</stp>
        <stp>CALL</stp>
        <stp>OpenInt</stp>
        <tr r="F9" s="7"/>
      </tp>
      <tp>
        <v>3076</v>
        <stp/>
        <stp>YahooFinanceOptions</stp>
        <stp>AAPL</stp>
        <stp>45807</stp>
        <stp>200</stp>
        <stp>CALL</stp>
        <stp>OpenInt</stp>
        <tr r="E11" s="7"/>
      </tp>
      <tp>
        <v>7683</v>
        <stp/>
        <stp>YahooFinanceOptions</stp>
        <stp>AAPL</stp>
        <stp>45919</stp>
        <stp>210</stp>
        <stp>CALL</stp>
        <stp>OpenInt</stp>
        <tr r="L9" s="7"/>
      </tp>
      <tp>
        <v>0</v>
        <stp/>
        <stp>YahooFinanceOptions</stp>
        <stp>AAPL270115C00200000</stp>
        <stp>Ask</stp>
        <tr r="N7" s="4"/>
      </tp>
      <tp>
        <v>0</v>
        <stp/>
        <stp>YahooFinanceOptions</stp>
        <stp>AAPL260116C00150000</stp>
        <stp>Ask</stp>
        <tr r="N4" s="4"/>
      </tp>
      <tp>
        <v>0</v>
        <stp/>
        <stp>YahooFinanceOptions</stp>
        <stp>AAPL260116C00200000</stp>
        <stp>Ask</stp>
        <tr r="N5" s="4"/>
      </tp>
      <tp>
        <v>0</v>
        <stp/>
        <stp>YahooFinanceOptions</stp>
        <stp>AAPL270115C00150000</stp>
        <stp>Ask</stp>
        <tr r="N6" s="4"/>
      </tp>
      <tp t="s">
        <v>AAPL260116C00210000</v>
        <stp/>
        <stp>YahooFinanceOptions</stp>
        <stp>AAPL</stp>
        <stp>46038</stp>
        <stp>210</stp>
        <stp>CALL</stp>
        <stp>OptionCode</stp>
        <tr r="Q9" s="3"/>
      </tp>
      <tp t="s">
        <v>AAPL260116C00205000</v>
        <stp/>
        <stp>YahooFinanceOptions</stp>
        <stp>AAPL</stp>
        <stp>46038</stp>
        <stp>205</stp>
        <stp>CALL</stp>
        <stp>OptionCode</stp>
        <tr r="Q10" s="3"/>
      </tp>
      <tp t="s">
        <v>AAPL260116C00200000</v>
        <stp/>
        <stp>YahooFinanceOptions</stp>
        <stp>AAPL</stp>
        <stp>46038</stp>
        <stp>200</stp>
        <stp>CALL</stp>
        <stp>OptionCode</stp>
        <tr r="Q11" s="3"/>
        <tr r="F5" s="5"/>
      </tp>
      <tp>
        <v>195</v>
        <stp/>
        <stp>YahooFinanceOptions</stp>
        <stp>AAPL</stp>
        <stp>46038</stp>
        <stp>200</stp>
        <stp>PUT</stp>
        <stp>Strike-1</stp>
        <tr r="D21" s="3"/>
      </tp>
      <tp>
        <v>210</v>
        <stp/>
        <stp>YahooFinanceOptions</stp>
        <stp>AAPL</stp>
        <stp>46038</stp>
        <stp>205</stp>
        <stp>PUT</stp>
        <stp>Strike+1</stp>
        <tr r="D18" s="3"/>
      </tp>
      <tp>
        <v>205</v>
        <stp/>
        <stp>YahooFinanceOptions</stp>
        <stp>AAPL</stp>
        <stp>46038</stp>
        <stp>200</stp>
        <stp>PUT</stp>
        <stp>Strike+1</stp>
        <tr r="D19" s="3"/>
      </tp>
      <tp>
        <v>1687</v>
        <stp/>
        <stp>YahooFinanceOptions</stp>
        <stp>AAPL</stp>
        <stp>46101</stp>
        <stp>210</stp>
        <stp>CALL</stp>
        <stp>OpenInt</stp>
        <tr r="Q9" s="7"/>
      </tp>
      <tp>
        <v>2355</v>
        <stp/>
        <stp>YahooFinanceOptions</stp>
        <stp>AAPL</stp>
        <stp>45814</stp>
        <stp>205</stp>
        <stp>CALL</stp>
        <stp>OpenInt</stp>
        <tr r="F10" s="7"/>
      </tp>
      <tp>
        <v>849</v>
        <stp/>
        <stp>YahooFinanceOptions</stp>
        <stp>AAPL</stp>
        <stp>45884</stp>
        <stp>195</stp>
        <stp>CALL</stp>
        <stp>OpenInt</stp>
        <tr r="K12" s="7"/>
      </tp>
      <tp>
        <v>5446</v>
        <stp/>
        <stp>YahooFinanceOptions</stp>
        <stp>AAPL</stp>
        <stp>46010</stp>
        <stp>200</stp>
        <stp>CALL</stp>
        <stp>OpenInt</stp>
        <tr r="O11" s="7"/>
      </tp>
      <tp>
        <v>21158</v>
        <stp/>
        <stp>YahooFinanceOptions</stp>
        <stp>AAPL</stp>
        <stp>45800</stp>
        <stp>210</stp>
        <stp>CALL</stp>
        <stp>OpenInt</stp>
        <tr r="D9" s="7"/>
      </tp>
      <tp>
        <v>13</v>
        <stp/>
        <stp>YahooFinanceOptions</stp>
        <stp>AAPL</stp>
        <stp>45982</stp>
        <stp>190</stp>
        <stp>CALL</stp>
        <stp>OpenInt</stp>
        <tr r="N13" s="7"/>
      </tp>
      <tp>
        <v>2622</v>
        <stp/>
        <stp>YahooFinanceOptions</stp>
        <stp>AAPL</stp>
        <stp>46010</stp>
        <stp>205</stp>
        <stp>CALL</stp>
        <stp>OpenInt</stp>
        <tr r="O10" s="7"/>
      </tp>
      <tp>
        <v>7033</v>
        <stp/>
        <stp>YahooFinanceOptions</stp>
        <stp>AAPL</stp>
        <stp>45814</stp>
        <stp>200</stp>
        <stp>CALL</stp>
        <stp>OpenInt</stp>
        <tr r="F11" s="7"/>
      </tp>
      <tp>
        <v>2293</v>
        <stp/>
        <stp>YahooFinanceOptions</stp>
        <stp>AAPL</stp>
        <stp>45884</stp>
        <stp>190</stp>
        <stp>CALL</stp>
        <stp>OpenInt</stp>
        <tr r="K13" s="7"/>
      </tp>
      <tp>
        <v>15086</v>
        <stp/>
        <stp>YahooFinanceOptions</stp>
        <stp>AAPL</stp>
        <stp>45807</stp>
        <stp>210</stp>
        <stp>CALL</stp>
        <stp>OpenInt</stp>
        <tr r="E9" s="7"/>
      </tp>
      <tp>
        <v>1</v>
        <stp/>
        <stp>YahooFinanceOptions</stp>
        <stp>AAPL</stp>
        <stp>45982</stp>
        <stp>195</stp>
        <stp>CALL</stp>
        <stp>OpenInt</stp>
        <tr r="N12" s="7"/>
      </tp>
      <tp>
        <v>7781</v>
        <stp/>
        <stp>YahooFinanceOptions</stp>
        <stp>AAPL</stp>
        <stp>45919</stp>
        <stp>200</stp>
        <stp>CALL</stp>
        <stp>OpenInt</stp>
        <tr r="L11" s="7"/>
      </tp>
      <tp>
        <v>3031</v>
        <stp/>
        <stp>YahooFinanceOptions</stp>
        <stp>AAPL</stp>
        <stp>45919</stp>
        <stp>205</stp>
        <stp>CALL</stp>
        <stp>OpenInt</stp>
        <tr r="L10" s="7"/>
      </tp>
      <tp>
        <v>1417</v>
        <stp/>
        <stp>YahooFinanceOptions</stp>
        <stp>AAPL</stp>
        <stp>45821</stp>
        <stp>200</stp>
        <stp>CALL</stp>
        <stp>OpenInt</stp>
        <tr r="G11" s="7"/>
      </tp>
      <tp>
        <v>1079</v>
        <stp/>
        <stp>YahooFinanceOptions</stp>
        <stp>AAPL</stp>
        <stp>45835</stp>
        <stp>210</stp>
        <stp>CALL</stp>
        <stp>OpenInt</stp>
        <tr r="I9" s="7"/>
      </tp>
      <tp>
        <v>1322</v>
        <stp/>
        <stp>YahooFinanceOptions</stp>
        <stp>AAPL</stp>
        <stp>45821</stp>
        <stp>205</stp>
        <stp>CALL</stp>
        <stp>OpenInt</stp>
        <tr r="G10" s="7"/>
      </tp>
      <tp>
        <v>10496</v>
        <stp/>
        <stp>YahooFinanceOptions</stp>
        <stp>AAPL</stp>
        <stp>46038</stp>
        <stp>210</stp>
        <stp>CALL</stp>
        <stp>OpenInt</stp>
        <tr r="P9" s="7"/>
        <tr r="N9" s="3"/>
      </tp>
      <tp>
        <v>28397</v>
        <stp/>
        <stp>YahooFinanceOptions</stp>
        <stp>AAPL</stp>
        <stp>45828</stp>
        <stp>200</stp>
        <stp>CALL</stp>
        <stp>OpenInt</stp>
        <tr r="H11" s="7"/>
      </tp>
      <tp>
        <v>17820</v>
        <stp/>
        <stp>YahooFinanceOptions</stp>
        <stp>AAPL</stp>
        <stp>45828</stp>
        <stp>205</stp>
        <stp>CALL</stp>
        <stp>OpenInt</stp>
        <tr r="H10" s="7"/>
      </tp>
      <tp>
        <v>3460</v>
        <stp/>
        <stp>YahooFinanceOptions</stp>
        <stp>AAPL</stp>
        <stp>45821</stp>
        <stp>210</stp>
        <stp>CALL</stp>
        <stp>OpenInt</stp>
        <tr r="G9" s="7"/>
      </tp>
      <tp>
        <v>10984</v>
        <stp/>
        <stp>YahooFinanceOptions</stp>
        <stp>AAPL</stp>
        <stp>45835</stp>
        <stp>205</stp>
        <stp>CALL</stp>
        <stp>OpenInt</stp>
        <tr r="I10" s="7"/>
      </tp>
      <tp>
        <v>1481</v>
        <stp/>
        <stp>YahooFinanceOptions</stp>
        <stp>AAPL</stp>
        <stp>45835</stp>
        <stp>200</stp>
        <stp>CALL</stp>
        <stp>OpenInt</stp>
        <tr r="I11" s="7"/>
      </tp>
      <tp>
        <v>17906</v>
        <stp/>
        <stp>YahooFinanceOptions</stp>
        <stp>AAPL</stp>
        <stp>46038</stp>
        <stp>200</stp>
        <stp>CALL</stp>
        <stp>OpenInt</stp>
        <tr r="P11" s="7"/>
        <tr r="N11" s="3"/>
        <tr r="O5" s="5"/>
      </tp>
      <tp>
        <v>37654</v>
        <stp/>
        <stp>YahooFinanceOptions</stp>
        <stp>AAPL</stp>
        <stp>45828</stp>
        <stp>210</stp>
        <stp>CALL</stp>
        <stp>OpenInt</stp>
        <tr r="H9" s="7"/>
      </tp>
      <tp>
        <v>4776</v>
        <stp/>
        <stp>YahooFinanceOptions</stp>
        <stp>AAPL</stp>
        <stp>46038</stp>
        <stp>205</stp>
        <stp>CALL</stp>
        <stp>OpenInt</stp>
        <tr r="P10" s="7"/>
        <tr r="N10" s="3"/>
      </tp>
      <tp>
        <v>0</v>
        <stp/>
        <stp>YahooFinanceOptions</stp>
        <stp>AAPL260116C00200000</stp>
        <stp>Bid</stp>
        <tr r="M5" s="4"/>
      </tp>
      <tp>
        <v>0</v>
        <stp/>
        <stp>YahooFinanceOptions</stp>
        <stp>AAPL270115C00150000</stp>
        <stp>Bid</stp>
        <tr r="M6" s="4"/>
      </tp>
      <tp>
        <v>0</v>
        <stp/>
        <stp>YahooFinanceOptions</stp>
        <stp>AAPL270115C00200000</stp>
        <stp>Bid</stp>
        <tr r="M7" s="4"/>
      </tp>
      <tp>
        <v>0</v>
        <stp/>
        <stp>YahooFinanceOptions</stp>
        <stp>AAPL260116C00150000</stp>
        <stp>Bid</stp>
        <tr r="M4" s="4"/>
      </tp>
      <tp t="s">
        <v>AAPL260116C00195000</v>
        <stp/>
        <stp>YahooFinanceOptions</stp>
        <stp>AAPL</stp>
        <stp>46038</stp>
        <stp>195</stp>
        <stp>CALL</stp>
        <stp>OptionCode</stp>
        <tr r="Q12" s="3"/>
      </tp>
      <tp t="s">
        <v>AAPL260116C00190000</v>
        <stp/>
        <stp>YahooFinanceOptions</stp>
        <stp>AAPL</stp>
        <stp>46038</stp>
        <stp>190</stp>
        <stp>CALL</stp>
        <stp>OptionCode</stp>
        <tr r="Q13" s="3"/>
      </tp>
      <tp t="s">
        <v>AAPL260116C00150000</v>
        <stp/>
        <stp>YahooFinanceOptions</stp>
        <stp>AAPL</stp>
        <stp>46038</stp>
        <stp>150</stp>
        <stp>CALL</stp>
        <stp>OptionCode</stp>
        <tr r="F4" s="5"/>
      </tp>
      <tp>
        <v>0</v>
        <stp/>
        <stp>YahooFinanceOptions</stp>
        <stp>AAPL260116C00200000</stp>
        <stp>Change</stp>
        <tr r="J5" s="4"/>
      </tp>
      <tp>
        <v>0</v>
        <stp/>
        <stp>YahooFinanceOptions</stp>
        <stp>AAPL270115C00150000</stp>
        <stp>Change</stp>
        <tr r="J6" s="4"/>
      </tp>
      <tp>
        <v>0</v>
        <stp/>
        <stp>YahooFinanceOptions</stp>
        <stp>AAPL270115C00200000</stp>
        <stp>Change</stp>
        <tr r="J7" s="4"/>
      </tp>
      <tp>
        <v>0</v>
        <stp/>
        <stp>YahooFinanceOptions</stp>
        <stp>AAPL260116C00150000</stp>
        <stp>Change</stp>
        <tr r="J4" s="4"/>
      </tp>
      <tp>
        <v>1204</v>
        <stp/>
        <stp>YahooFinanceOptions</stp>
        <stp>AAPL</stp>
        <stp>45947</stp>
        <stp>205</stp>
        <stp>CALL</stp>
        <stp>OpenInt</stp>
        <tr r="M10" s="7"/>
      </tp>
      <tp>
        <v>2139</v>
        <stp/>
        <stp>YahooFinanceOptions</stp>
        <stp>AAPL</stp>
        <stp>45947</stp>
        <stp>200</stp>
        <stp>CALL</stp>
        <stp>OpenInt</stp>
        <tr r="M11" s="7"/>
      </tp>
      <tp>
        <v>8368</v>
        <stp/>
        <stp>YahooFinanceOptions</stp>
        <stp>AAPL</stp>
        <stp>45856</stp>
        <stp>210</stp>
        <stp>CALL</stp>
        <stp>OpenInt</stp>
        <tr r="J9" s="7"/>
      </tp>
      <tp>
        <v>46402</v>
        <stp/>
        <stp>YahooFinanceOptions</stp>
        <stp>AAPL270115C00150000</stp>
        <stp>Exp</stp>
        <tr r="F6" s="4"/>
      </tp>
      <tp>
        <v>46038</v>
        <stp/>
        <stp>YahooFinanceOptions</stp>
        <stp>AAPL260116C00200000</stp>
        <stp>Exp</stp>
        <tr r="F5" s="4"/>
      </tp>
      <tp>
        <v>46038</v>
        <stp/>
        <stp>YahooFinanceOptions</stp>
        <stp>AAPL260116C00150000</stp>
        <stp>Exp</stp>
        <tr r="F4" s="4"/>
      </tp>
      <tp>
        <v>46402</v>
        <stp/>
        <stp>YahooFinanceOptions</stp>
        <stp>AAPL270115C00200000</stp>
        <stp>Exp</stp>
        <tr r="F7" s="4"/>
      </tp>
      <tp t="s">
        <v>AAPL270115C00200000</v>
        <stp/>
        <stp>YahooFinanceOptions</stp>
        <stp>AAPL</stp>
        <stp>46402</stp>
        <stp>200</stp>
        <stp>CALL</stp>
        <stp>OptionCode</stp>
        <tr r="F7" s="5"/>
      </tp>
      <tp>
        <v>200</v>
        <stp/>
        <stp>YahooFinanceOptions</stp>
        <stp>AAPL260116C00200000</stp>
        <stp>Strike</stp>
        <tr r="G5" s="4"/>
      </tp>
      <tp>
        <v>150</v>
        <stp/>
        <stp>YahooFinanceOptions</stp>
        <stp>AAPL270115C00150000</stp>
        <stp>Strike</stp>
        <tr r="G6" s="4"/>
      </tp>
      <tp>
        <v>200</v>
        <stp/>
        <stp>YahooFinanceOptions</stp>
        <stp>AAPL270115C00200000</stp>
        <stp>Strike</stp>
        <tr r="G7" s="4"/>
      </tp>
      <tp>
        <v>150</v>
        <stp/>
        <stp>YahooFinanceOptions</stp>
        <stp>AAPL260116C00150000</stp>
        <stp>Strike</stp>
        <tr r="G4" s="4"/>
      </tp>
      <tp>
        <v>8208</v>
        <stp/>
        <stp>YahooFinanceOptions</stp>
        <stp>AAPL</stp>
        <stp>45856</stp>
        <stp>205</stp>
        <stp>CALL</stp>
        <stp>OpenInt</stp>
        <tr r="J10" s="7"/>
      </tp>
      <tp>
        <v>2010</v>
        <stp/>
        <stp>YahooFinanceOptions</stp>
        <stp>AAPL</stp>
        <stp>46402</stp>
        <stp>150</stp>
        <stp>CALL</stp>
        <stp>OpenInt</stp>
        <tr r="O6" s="5"/>
      </tp>
      <tp>
        <v>2084</v>
        <stp/>
        <stp>YahooFinanceOptions</stp>
        <stp>AAPL</stp>
        <stp>45947</stp>
        <stp>210</stp>
        <stp>CALL</stp>
        <stp>OpenInt</stp>
        <tr r="M9" s="7"/>
      </tp>
      <tp>
        <v>5482</v>
        <stp/>
        <stp>YahooFinanceOptions</stp>
        <stp>AAPL</stp>
        <stp>45856</stp>
        <stp>200</stp>
        <stp>CALL</stp>
        <stp>OpenInt</stp>
        <tr r="J11" s="7"/>
      </tp>
      <tp>
        <v>43012</v>
        <stp/>
        <stp>YahooFinanceOptions</stp>
        <stp>AAPL</stp>
        <stp>46038</stp>
        <stp>150</stp>
        <stp>CALL</stp>
        <stp>OpenInt</stp>
        <tr r="O6" s="8"/>
        <tr r="O4" s="5"/>
      </tp>
      <tp>
        <v>1.0000000000000003E-5</v>
        <stp/>
        <stp>YahooFinanceOptions</stp>
        <stp>AAPL</stp>
        <stp>46038</stp>
        <stp>205</stp>
        <stp>PUT</stp>
        <stp>ImpVol</stp>
        <tr r="O19" s="3"/>
      </tp>
      <tp>
        <v>3.9162109375000002E-3</v>
        <stp/>
        <stp>YahooFinanceOptions</stp>
        <stp>AAPL</stp>
        <stp>46038</stp>
        <stp>200</stp>
        <stp>PUT</stp>
        <stp>ImpVol</stp>
        <tr r="O20" s="3"/>
      </tp>
      <tp>
        <v>1.0000000000000003E-5</v>
        <stp/>
        <stp>YahooFinanceOptions</stp>
        <stp>AAPL</stp>
        <stp>46038</stp>
        <stp>210</stp>
        <stp>PUT</stp>
        <stp>ImpVol</stp>
        <tr r="O18" s="3"/>
      </tp>
      <tp>
        <v>7.8224218750000008E-3</v>
        <stp/>
        <stp>YahooFinanceOptions</stp>
        <stp>AAPL</stp>
        <stp>46038</stp>
        <stp>195</stp>
        <stp>PUT</stp>
        <stp>ImpVol</stp>
        <tr r="O21" s="3"/>
      </tp>
      <tp>
        <v>1.5634843750000002E-2</v>
        <stp/>
        <stp>YahooFinanceOptions</stp>
        <stp>AAPL</stp>
        <stp>46038</stp>
        <stp>190</stp>
        <stp>PUT</stp>
        <stp>ImpVol</stp>
        <tr r="O22" s="3"/>
      </tp>
      <tp t="s">
        <v>AAPL270115C00150000</v>
        <stp/>
        <stp>YahooFinanceOptions</stp>
        <stp>AAPL</stp>
        <stp>46402</stp>
        <stp>150</stp>
        <stp>CALL</stp>
        <stp>OptionCode</stp>
        <tr r="F6" s="5"/>
      </tp>
      <tp>
        <v>202.09</v>
        <stp/>
        <stp>YahooFinanceQuotes</stp>
        <stp>AAPL</stp>
        <stp>Last</stp>
        <tr r="G6" s="8"/>
        <tr r="C4" s="3"/>
        <tr r="C4" s="7"/>
      </tp>
      <tp t="e">
        <v>#N/A</v>
        <stp/>
        <stp>YahooFinanceOptions</stp>
        <stp>AAPL</stp>
        <stp>46101</stp>
        <stp>205</stp>
        <stp>PUT</stp>
        <stp>OpenInt</stp>
        <tr r="Q19" s="7"/>
      </tp>
      <tp>
        <v>4546</v>
        <stp/>
        <stp>YahooFinanceOptions</stp>
        <stp>AAPL</stp>
        <stp>46101</stp>
        <stp>200</stp>
        <stp>PUT</stp>
        <stp>OpenInt</stp>
        <tr r="Q20" s="7"/>
      </tp>
      <tp>
        <v>2653</v>
        <stp/>
        <stp>YahooFinanceOptions</stp>
        <stp>AAPL</stp>
        <stp>46101</stp>
        <stp>210</stp>
        <stp>PUT</stp>
        <stp>OpenInt</stp>
        <tr r="Q18" s="7"/>
      </tp>
      <tp>
        <v>3313</v>
        <stp/>
        <stp>YahooFinanceOptions</stp>
        <stp>AAPL</stp>
        <stp>46191</stp>
        <stp>210</stp>
        <stp>PUT</stp>
        <stp>OpenInt</stp>
        <tr r="R18" s="7"/>
      </tp>
      <tp>
        <v>2292</v>
        <stp/>
        <stp>YahooFinanceOptions</stp>
        <stp>AAPL</stp>
        <stp>46191</stp>
        <stp>205</stp>
        <stp>PUT</stp>
        <stp>OpenInt</stp>
        <tr r="R19" s="7"/>
      </tp>
      <tp>
        <v>5558</v>
        <stp/>
        <stp>YahooFinanceOptions</stp>
        <stp>AAPL</stp>
        <stp>46191</stp>
        <stp>200</stp>
        <stp>PUT</stp>
        <stp>OpenInt</stp>
        <tr r="R20" s="7"/>
      </tp>
      <tp>
        <v>370</v>
        <stp/>
        <stp>YahooFinanceOptions</stp>
        <stp>AAPL260116C00150000</stp>
        <stp>Volume</stp>
        <tr r="O4" s="4"/>
      </tp>
      <tp>
        <v>52</v>
        <stp/>
        <stp>YahooFinanceOptions</stp>
        <stp>AAPL270115C00200000</stp>
        <stp>Volume</stp>
        <tr r="O7" s="4"/>
      </tp>
      <tp>
        <v>6</v>
        <stp/>
        <stp>YahooFinanceOptions</stp>
        <stp>AAPL270115C00150000</stp>
        <stp>Volume</stp>
        <tr r="O6" s="4"/>
      </tp>
      <tp>
        <v>248</v>
        <stp/>
        <stp>YahooFinanceOptions</stp>
        <stp>AAPL260116C00200000</stp>
        <stp>Volume</stp>
        <tr r="O5" s="4"/>
      </tp>
      <tp>
        <v>4571</v>
        <stp/>
        <stp>YahooFinanceOptions</stp>
        <stp>AAPL</stp>
        <stp>46010</stp>
        <stp>210</stp>
        <stp>PUT</stp>
        <stp>OpenInt</stp>
        <tr r="O18" s="7"/>
      </tp>
      <tp>
        <v>4224</v>
        <stp/>
        <stp>YahooFinanceOptions</stp>
        <stp>AAPL</stp>
        <stp>46010</stp>
        <stp>205</stp>
        <stp>PUT</stp>
        <stp>OpenInt</stp>
        <tr r="O19" s="7"/>
      </tp>
      <tp>
        <v>11922</v>
        <stp/>
        <stp>YahooFinanceOptions</stp>
        <stp>AAPL</stp>
        <stp>46010</stp>
        <stp>200</stp>
        <stp>PUT</stp>
        <stp>OpenInt</stp>
        <tr r="O20" s="7"/>
      </tp>
      <tp>
        <v>20889</v>
        <stp/>
        <stp>YahooFinanceOptions</stp>
        <stp>AAPL</stp>
        <stp>46038</stp>
        <stp>210</stp>
        <stp>PUT</stp>
        <stp>OpenInt</stp>
        <tr r="P18" s="7"/>
        <tr r="N18" s="3"/>
      </tp>
      <tp>
        <v>8906</v>
        <stp/>
        <stp>YahooFinanceOptions</stp>
        <stp>AAPL</stp>
        <stp>46038</stp>
        <stp>205</stp>
        <stp>PUT</stp>
        <stp>OpenInt</stp>
        <tr r="P19" s="7"/>
        <tr r="N19" s="3"/>
      </tp>
      <tp>
        <v>27204</v>
        <stp/>
        <stp>YahooFinanceOptions</stp>
        <stp>AAPL</stp>
        <stp>46038</stp>
        <stp>200</stp>
        <stp>PUT</stp>
        <stp>OpenInt</stp>
        <tr r="P20" s="7"/>
        <tr r="N20" s="3"/>
      </tp>
      <tp>
        <v>85</v>
        <stp/>
        <stp>YahooFinanceOptions</stp>
        <stp>AAPL</stp>
        <stp>46038</stp>
        <stp>80</stp>
        <stp>CALL</stp>
        <stp>Strike+1</stp>
        <tr r="E27" s="8"/>
      </tp>
      <tp>
        <v>95</v>
        <stp/>
        <stp>YahooFinanceOptions</stp>
        <stp>AAPL</stp>
        <stp>46038</stp>
        <stp>90</stp>
        <stp>CALL</stp>
        <stp>Strike+1</stp>
        <tr r="E29" s="8"/>
      </tp>
      <tp>
        <v>45</v>
        <stp/>
        <stp>YahooFinanceOptions</stp>
        <stp>AAPL</stp>
        <stp>46038</stp>
        <stp>40</stp>
        <stp>CALL</stp>
        <stp>Strike+1</stp>
        <tr r="E19" s="8"/>
      </tp>
      <tp>
        <v>55</v>
        <stp/>
        <stp>YahooFinanceOptions</stp>
        <stp>AAPL</stp>
        <stp>46038</stp>
        <stp>50</stp>
        <stp>CALL</stp>
        <stp>Strike+1</stp>
        <tr r="E21" s="8"/>
      </tp>
      <tp>
        <v>65</v>
        <stp/>
        <stp>YahooFinanceOptions</stp>
        <stp>AAPL</stp>
        <stp>46038</stp>
        <stp>60</stp>
        <stp>CALL</stp>
        <stp>Strike+1</stp>
        <tr r="E23" s="8"/>
      </tp>
      <tp>
        <v>75</v>
        <stp/>
        <stp>YahooFinanceOptions</stp>
        <stp>AAPL</stp>
        <stp>46038</stp>
        <stp>70</stp>
        <stp>CALL</stp>
        <stp>Strike+1</stp>
        <tr r="E25" s="8"/>
      </tp>
      <tp>
        <v>15</v>
        <stp/>
        <stp>YahooFinanceOptions</stp>
        <stp>AAPL</stp>
        <stp>46038</stp>
        <stp>10</stp>
        <stp>CALL</stp>
        <stp>Strike+1</stp>
        <tr r="E13" s="8"/>
      </tp>
      <tp>
        <v>25</v>
        <stp/>
        <stp>YahooFinanceOptions</stp>
        <stp>AAPL</stp>
        <stp>46038</stp>
        <stp>20</stp>
        <stp>CALL</stp>
        <stp>Strike+1</stp>
        <tr r="E15" s="8"/>
      </tp>
      <tp>
        <v>35</v>
        <stp/>
        <stp>YahooFinanceOptions</stp>
        <stp>AAPL</stp>
        <stp>46038</stp>
        <stp>30</stp>
        <stp>CALL</stp>
        <stp>Strike+1</stp>
        <tr r="E17" s="8"/>
      </tp>
      <tp>
        <v>200.72</v>
        <stp/>
        <stp>YahooFinanceQuotes</stp>
        <stp>AAPL</stp>
        <stp>Low</stp>
        <tr r="F4" s="3"/>
        <tr r="F4" s="7"/>
      </tp>
      <tp>
        <v>4552</v>
        <stp/>
        <stp>YahooFinanceOptions</stp>
        <stp>AAPL</stp>
        <stp>46010</stp>
        <stp>195</stp>
        <stp>PUT</stp>
        <stp>OpenInt</stp>
        <tr r="O21" s="7"/>
      </tp>
      <tp>
        <v>5837</v>
        <stp/>
        <stp>YahooFinanceOptions</stp>
        <stp>AAPL</stp>
        <stp>46010</stp>
        <stp>190</stp>
        <stp>PUT</stp>
        <stp>OpenInt</stp>
        <tr r="O22" s="7"/>
      </tp>
      <tp>
        <v>10369</v>
        <stp/>
        <stp>YahooFinanceOptions</stp>
        <stp>AAPL</stp>
        <stp>46038</stp>
        <stp>195</stp>
        <stp>PUT</stp>
        <stp>OpenInt</stp>
        <tr r="P21" s="7"/>
        <tr r="N21" s="3"/>
      </tp>
      <tp>
        <v>13802</v>
        <stp/>
        <stp>YahooFinanceOptions</stp>
        <stp>AAPL</stp>
        <stp>46038</stp>
        <stp>190</stp>
        <stp>PUT</stp>
        <stp>OpenInt</stp>
        <tr r="P22" s="7"/>
        <tr r="N22" s="3"/>
      </tp>
      <tp>
        <v>1318</v>
        <stp/>
        <stp>YahooFinanceOptions</stp>
        <stp>AAPL</stp>
        <stp>46191</stp>
        <stp>195</stp>
        <stp>PUT</stp>
        <stp>OpenInt</stp>
        <tr r="R21" s="7"/>
      </tp>
      <tp>
        <v>6173</v>
        <stp/>
        <stp>YahooFinanceOptions</stp>
        <stp>AAPL</stp>
        <stp>46191</stp>
        <stp>190</stp>
        <stp>PUT</stp>
        <stp>OpenInt</stp>
        <tr r="R22" s="7"/>
      </tp>
      <tp>
        <v>4610</v>
        <stp/>
        <stp>YahooFinanceOptions</stp>
        <stp>AAPL</stp>
        <stp>46101</stp>
        <stp>195</stp>
        <stp>PUT</stp>
        <stp>OpenInt</stp>
        <tr r="Q21" s="7"/>
      </tp>
      <tp>
        <v>4258</v>
        <stp/>
        <stp>YahooFinanceOptions</stp>
        <stp>AAPL</stp>
        <stp>46101</stp>
        <stp>190</stp>
        <stp>PUT</stp>
        <stp>OpenInt</stp>
        <tr r="Q22" s="7"/>
      </tp>
      <tp>
        <v>45799.356454733796</v>
        <stp/>
        <stp>YahooFinanceQuotes</stp>
        <stp>AAPL</stp>
        <stp>rtd_LastUpdate</stp>
        <tr r="R4" s="3"/>
        <tr r="K4" s="7"/>
      </tp>
      <tp>
        <v>90</v>
        <stp/>
        <stp>YahooFinanceOptions</stp>
        <stp>AAPL</stp>
        <stp>46038</stp>
        <stp>85</stp>
        <stp>CALL</stp>
        <stp>Strike+1</stp>
        <tr r="E28" s="8"/>
      </tp>
      <tp>
        <v>100</v>
        <stp/>
        <stp>YahooFinanceOptions</stp>
        <stp>AAPL</stp>
        <stp>46038</stp>
        <stp>95</stp>
        <stp>CALL</stp>
        <stp>Strike+1</stp>
        <tr r="E30" s="8"/>
      </tp>
      <tp>
        <v>50</v>
        <stp/>
        <stp>YahooFinanceOptions</stp>
        <stp>AAPL</stp>
        <stp>46038</stp>
        <stp>45</stp>
        <stp>CALL</stp>
        <stp>Strike+1</stp>
        <tr r="E20" s="8"/>
      </tp>
      <tp>
        <v>60</v>
        <stp/>
        <stp>YahooFinanceOptions</stp>
        <stp>AAPL</stp>
        <stp>46038</stp>
        <stp>55</stp>
        <stp>CALL</stp>
        <stp>Strike+1</stp>
        <tr r="E22" s="8"/>
      </tp>
      <tp>
        <v>70</v>
        <stp/>
        <stp>YahooFinanceOptions</stp>
        <stp>AAPL</stp>
        <stp>46038</stp>
        <stp>65</stp>
        <stp>CALL</stp>
        <stp>Strike+1</stp>
        <tr r="E24" s="8"/>
      </tp>
      <tp>
        <v>80</v>
        <stp/>
        <stp>YahooFinanceOptions</stp>
        <stp>AAPL</stp>
        <stp>46038</stp>
        <stp>75</stp>
        <stp>CALL</stp>
        <stp>Strike+1</stp>
        <tr r="E26" s="8"/>
      </tp>
      <tp>
        <v>20</v>
        <stp/>
        <stp>YahooFinanceOptions</stp>
        <stp>AAPL</stp>
        <stp>46038</stp>
        <stp>15</stp>
        <stp>CALL</stp>
        <stp>Strike+1</stp>
        <tr r="E14" s="8"/>
      </tp>
      <tp>
        <v>30</v>
        <stp/>
        <stp>YahooFinanceOptions</stp>
        <stp>AAPL</stp>
        <stp>46038</stp>
        <stp>25</stp>
        <stp>CALL</stp>
        <stp>Strike+1</stp>
        <tr r="E16" s="8"/>
      </tp>
      <tp>
        <v>40</v>
        <stp/>
        <stp>YahooFinanceOptions</stp>
        <stp>AAPL</stp>
        <stp>46038</stp>
        <stp>35</stp>
        <stp>CALL</stp>
        <stp>Strike+1</stp>
        <tr r="E18" s="8"/>
      </tp>
      <tp t="s">
        <v/>
        <stp/>
        <stp>YahooFinanceOptions</stp>
        <stp>AAPL</stp>
        <stp>46038</stp>
        <stp>190</stp>
        <stp>CALL</stp>
        <stp>rtd_LastMessage</stp>
        <tr r="T13" s="3"/>
      </tp>
      <tp t="s">
        <v/>
        <stp/>
        <stp>YahooFinanceOptions</stp>
        <stp>AAPL</stp>
        <stp>46038</stp>
        <stp>195</stp>
        <stp>CALL</stp>
        <stp>rtd_LastMessage</stp>
        <tr r="T12" s="3"/>
      </tp>
      <tp>
        <v>7978</v>
        <stp/>
        <stp>YahooFinanceOptions</stp>
        <stp>AAPL</stp>
        <stp>45947</stp>
        <stp>200</stp>
        <stp>PUT</stp>
        <stp>OpenInt</stp>
        <tr r="M20" s="7"/>
      </tp>
      <tp>
        <v>1651</v>
        <stp/>
        <stp>YahooFinanceOptions</stp>
        <stp>AAPL</stp>
        <stp>45947</stp>
        <stp>205</stp>
        <stp>PUT</stp>
        <stp>OpenInt</stp>
        <tr r="M19" s="7"/>
      </tp>
      <tp>
        <v>4530</v>
        <stp/>
        <stp>YahooFinanceOptions</stp>
        <stp>AAPL</stp>
        <stp>45947</stp>
        <stp>210</stp>
        <stp>PUT</stp>
        <stp>OpenInt</stp>
        <tr r="M18" s="7"/>
      </tp>
      <tp>
        <v>9092</v>
        <stp/>
        <stp>YahooFinanceOptions</stp>
        <stp>AAPL</stp>
        <stp>45919</stp>
        <stp>210</stp>
        <stp>PUT</stp>
        <stp>OpenInt</stp>
        <tr r="L18" s="7"/>
      </tp>
      <tp>
        <v>10359</v>
        <stp/>
        <stp>YahooFinanceOptions</stp>
        <stp>AAPL</stp>
        <stp>45919</stp>
        <stp>205</stp>
        <stp>PUT</stp>
        <stp>OpenInt</stp>
        <tr r="L19" s="7"/>
      </tp>
      <tp>
        <v>13007</v>
        <stp/>
        <stp>YahooFinanceOptions</stp>
        <stp>AAPL</stp>
        <stp>45919</stp>
        <stp>200</stp>
        <stp>PUT</stp>
        <stp>OpenInt</stp>
        <tr r="L20" s="7"/>
      </tp>
      <tp>
        <v>399</v>
        <stp/>
        <stp>YahooFinanceOptions</stp>
        <stp>AAPL</stp>
        <stp>45982</stp>
        <stp>205</stp>
        <stp>PUT</stp>
        <stp>OpenInt</stp>
        <tr r="N19" s="7"/>
      </tp>
      <tp>
        <v>2010</v>
        <stp/>
        <stp>YahooFinanceOptions</stp>
        <stp>AAPL</stp>
        <stp>45982</stp>
        <stp>200</stp>
        <stp>PUT</stp>
        <stp>OpenInt</stp>
        <tr r="N20" s="7"/>
      </tp>
      <tp>
        <v>297</v>
        <stp/>
        <stp>YahooFinanceOptions</stp>
        <stp>AAPL</stp>
        <stp>45982</stp>
        <stp>210</stp>
        <stp>PUT</stp>
        <stp>OpenInt</stp>
        <tr r="N18" s="7"/>
      </tp>
      <tp t="e">
        <v>#N/A</v>
        <stp/>
        <stp>YahooFinanceOptions</stp>
        <stp>AAPL</stp>
        <stp>Jan17'25</stp>
        <stp>150</stp>
        <stp>PUT</stp>
        <stp>Mark</stp>
        <tr r="E6" s="6"/>
      </tp>
      <tp>
        <v>0</v>
        <stp/>
        <stp>YahooFinanceOptions</stp>
        <stp>AAPL</stp>
        <stp>Jan16'26</stp>
        <stp>150</stp>
        <stp>PUT</stp>
        <stp>Mark</stp>
        <tr r="F6" s="6"/>
      </tp>
      <tp t="s">
        <v>AAPL</v>
        <stp/>
        <stp>YahooFinanceOptions</stp>
        <stp>AAPL270115C00150000</stp>
        <stp>OptionSymbol</stp>
        <tr r="E6" s="4"/>
      </tp>
      <tp>
        <v>5</v>
        <stp/>
        <stp>YahooFinanceOptions</stp>
        <stp>AAPL</stp>
        <stp>46038</stp>
        <stp>0</stp>
        <stp>CALL</stp>
        <stp>Strike+1</stp>
        <tr r="E11" s="8"/>
      </tp>
      <tp>
        <v>8491</v>
        <stp/>
        <stp>YahooFinanceOptions</stp>
        <stp>AAPL</stp>
        <stp>45856</stp>
        <stp>210</stp>
        <stp>PUT</stp>
        <stp>OpenInt</stp>
        <tr r="J18" s="7"/>
      </tp>
      <tp>
        <v>21557</v>
        <stp/>
        <stp>YahooFinanceOptions</stp>
        <stp>AAPL</stp>
        <stp>45856</stp>
        <stp>200</stp>
        <stp>PUT</stp>
        <stp>OpenInt</stp>
        <tr r="J20" s="7"/>
      </tp>
      <tp>
        <v>11631</v>
        <stp/>
        <stp>YahooFinanceOptions</stp>
        <stp>AAPL</stp>
        <stp>45856</stp>
        <stp>205</stp>
        <stp>PUT</stp>
        <stp>OpenInt</stp>
        <tr r="J19" s="7"/>
      </tp>
      <tp>
        <v>7895</v>
        <stp/>
        <stp>YahooFinanceOptions</stp>
        <stp>AAPL</stp>
        <stp>45807</stp>
        <stp>200</stp>
        <stp>PUT</stp>
        <stp>OpenInt</stp>
        <tr r="E20" s="7"/>
      </tp>
      <tp>
        <v>1444</v>
        <stp/>
        <stp>YahooFinanceOptions</stp>
        <stp>AAPL</stp>
        <stp>45814</stp>
        <stp>210</stp>
        <stp>PUT</stp>
        <stp>OpenInt</stp>
        <tr r="F18" s="7"/>
      </tp>
      <tp>
        <v>8942</v>
        <stp/>
        <stp>YahooFinanceOptions</stp>
        <stp>AAPL</stp>
        <stp>45800</stp>
        <stp>205</stp>
        <stp>PUT</stp>
        <stp>OpenInt</stp>
        <tr r="D19" s="7"/>
      </tp>
      <tp>
        <v>5233</v>
        <stp/>
        <stp>YahooFinanceOptions</stp>
        <stp>AAPL</stp>
        <stp>45807</stp>
        <stp>205</stp>
        <stp>PUT</stp>
        <stp>OpenInt</stp>
        <tr r="E19" s="7"/>
      </tp>
      <tp>
        <v>16210</v>
        <stp/>
        <stp>YahooFinanceOptions</stp>
        <stp>AAPL</stp>
        <stp>45800</stp>
        <stp>200</stp>
        <stp>PUT</stp>
        <stp>OpenInt</stp>
        <tr r="D20" s="7"/>
      </tp>
      <tp>
        <v>1945</v>
        <stp/>
        <stp>YahooFinanceOptions</stp>
        <stp>AAPL</stp>
        <stp>45807</stp>
        <stp>210</stp>
        <stp>PUT</stp>
        <stp>OpenInt</stp>
        <tr r="E18" s="7"/>
      </tp>
      <tp>
        <v>2422</v>
        <stp/>
        <stp>YahooFinanceOptions</stp>
        <stp>AAPL</stp>
        <stp>45814</stp>
        <stp>200</stp>
        <stp>PUT</stp>
        <stp>OpenInt</stp>
        <tr r="F20" s="7"/>
      </tp>
      <tp>
        <v>5813</v>
        <stp/>
        <stp>YahooFinanceOptions</stp>
        <stp>AAPL</stp>
        <stp>45800</stp>
        <stp>210</stp>
        <stp>PUT</stp>
        <stp>OpenInt</stp>
        <tr r="D18" s="7"/>
      </tp>
      <tp>
        <v>5267</v>
        <stp/>
        <stp>YahooFinanceOptions</stp>
        <stp>AAPL</stp>
        <stp>45814</stp>
        <stp>205</stp>
        <stp>PUT</stp>
        <stp>OpenInt</stp>
        <tr r="F19" s="7"/>
      </tp>
      <tp>
        <v>3781</v>
        <stp/>
        <stp>YahooFinanceOptions</stp>
        <stp>AAPL</stp>
        <stp>45821</stp>
        <stp>205</stp>
        <stp>PUT</stp>
        <stp>OpenInt</stp>
        <tr r="G19" s="7"/>
      </tp>
      <tp>
        <v>614</v>
        <stp/>
        <stp>YahooFinanceOptions</stp>
        <stp>AAPL</stp>
        <stp>45835</stp>
        <stp>210</stp>
        <stp>PUT</stp>
        <stp>OpenInt</stp>
        <tr r="I18" s="7"/>
      </tp>
      <tp>
        <v>3405</v>
        <stp/>
        <stp>YahooFinanceOptions</stp>
        <stp>AAPL</stp>
        <stp>45821</stp>
        <stp>200</stp>
        <stp>PUT</stp>
        <stp>OpenInt</stp>
        <tr r="G20" s="7"/>
      </tp>
      <tp>
        <v>17881</v>
        <stp/>
        <stp>YahooFinanceOptions</stp>
        <stp>AAPL</stp>
        <stp>45828</stp>
        <stp>205</stp>
        <stp>PUT</stp>
        <stp>OpenInt</stp>
        <tr r="H19" s="7"/>
      </tp>
      <tp>
        <v>46117</v>
        <stp/>
        <stp>YahooFinanceOptions</stp>
        <stp>AAPL</stp>
        <stp>45828</stp>
        <stp>200</stp>
        <stp>PUT</stp>
        <stp>OpenInt</stp>
        <tr r="H20" s="7"/>
      </tp>
      <tp>
        <v>1305</v>
        <stp/>
        <stp>YahooFinanceOptions</stp>
        <stp>AAPL</stp>
        <stp>45835</stp>
        <stp>200</stp>
        <stp>PUT</stp>
        <stp>OpenInt</stp>
        <tr r="I20" s="7"/>
      </tp>
      <tp>
        <v>513</v>
        <stp/>
        <stp>YahooFinanceOptions</stp>
        <stp>AAPL</stp>
        <stp>45835</stp>
        <stp>205</stp>
        <stp>PUT</stp>
        <stp>OpenInt</stp>
        <tr r="I19" s="7"/>
      </tp>
      <tp>
        <v>895</v>
        <stp/>
        <stp>YahooFinanceOptions</stp>
        <stp>AAPL</stp>
        <stp>45821</stp>
        <stp>210</stp>
        <stp>PUT</stp>
        <stp>OpenInt</stp>
        <tr r="G18" s="7"/>
      </tp>
      <tp>
        <v>33384</v>
        <stp/>
        <stp>YahooFinanceOptions</stp>
        <stp>AAPL</stp>
        <stp>45828</stp>
        <stp>210</stp>
        <stp>PUT</stp>
        <stp>OpenInt</stp>
        <tr r="H18" s="7"/>
      </tp>
      <tp t="s">
        <v/>
        <stp/>
        <stp>YahooFinanceOptions</stp>
        <stp>AAPL</stp>
        <stp>46402</stp>
        <stp>150</stp>
        <stp>CALL</stp>
        <stp>rtd_LastMessage</stp>
        <tr r="Q6" s="5"/>
      </tp>
      <tp>
        <v>7739</v>
        <stp/>
        <stp>YahooFinanceOptions</stp>
        <stp>AAPL</stp>
        <stp>45884</stp>
        <stp>200</stp>
        <stp>PUT</stp>
        <stp>OpenInt</stp>
        <tr r="K20" s="7"/>
      </tp>
      <tp>
        <v>5229</v>
        <stp/>
        <stp>YahooFinanceOptions</stp>
        <stp>AAPL</stp>
        <stp>45884</stp>
        <stp>205</stp>
        <stp>PUT</stp>
        <stp>OpenInt</stp>
        <tr r="K19" s="7"/>
      </tp>
      <tp>
        <v>20842</v>
        <stp/>
        <stp>YahooFinanceOptions</stp>
        <stp>AAPL</stp>
        <stp>45884</stp>
        <stp>210</stp>
        <stp>PUT</stp>
        <stp>OpenInt</stp>
        <tr r="K18" s="7"/>
      </tp>
      <tp>
        <v>0</v>
        <stp/>
        <stp>YahooFinanceOptions</stp>
        <stp>AAPL</stp>
        <stp>46038</stp>
        <stp>150</stp>
        <stp>CALL</stp>
        <stp>ChangeInPercent</stp>
        <tr r="J6" s="8"/>
        <tr r="J4" s="5"/>
      </tp>
      <tp t="s">
        <v>AAPL</v>
        <stp/>
        <stp>YahooFinanceOptions</stp>
        <stp>AAPL260116C00200000</stp>
        <stp>OptionSymbol</stp>
        <tr r="E5" s="4"/>
      </tp>
      <tp t="s">
        <v/>
        <stp/>
        <stp>YahooFinanceOptions</stp>
        <stp>AAPL</stp>
        <stp>46038</stp>
        <stp>150</stp>
        <stp>CALL</stp>
        <stp>rtd_LastMessage</stp>
        <tr r="Q4" s="5"/>
        <tr r="R6" s="8"/>
      </tp>
      <tp>
        <v>5602</v>
        <stp/>
        <stp>YahooFinanceOptions</stp>
        <stp>AAPL</stp>
        <stp>45884</stp>
        <stp>190</stp>
        <stp>PUT</stp>
        <stp>OpenInt</stp>
        <tr r="K22" s="7"/>
      </tp>
      <tp>
        <v>4583</v>
        <stp/>
        <stp>YahooFinanceOptions</stp>
        <stp>AAPL</stp>
        <stp>45884</stp>
        <stp>195</stp>
        <stp>PUT</stp>
        <stp>OpenInt</stp>
        <tr r="K21" s="7"/>
      </tp>
      <tp>
        <v>9971</v>
        <stp/>
        <stp>YahooFinanceOptions</stp>
        <stp>AAPL</stp>
        <stp>45856</stp>
        <stp>190</stp>
        <stp>PUT</stp>
        <stp>OpenInt</stp>
        <tr r="J22" s="7"/>
      </tp>
      <tp>
        <v>9487</v>
        <stp/>
        <stp>YahooFinanceOptions</stp>
        <stp>AAPL</stp>
        <stp>45856</stp>
        <stp>195</stp>
        <stp>PUT</stp>
        <stp>OpenInt</stp>
        <tr r="J21" s="7"/>
      </tp>
      <tp>
        <v>3227</v>
        <stp/>
        <stp>YahooFinanceOptions</stp>
        <stp>AAPL</stp>
        <stp>45814</stp>
        <stp>190</stp>
        <stp>PUT</stp>
        <stp>OpenInt</stp>
        <tr r="F22" s="7"/>
      </tp>
      <tp>
        <v>2097</v>
        <stp/>
        <stp>YahooFinanceOptions</stp>
        <stp>AAPL</stp>
        <stp>45814</stp>
        <stp>195</stp>
        <stp>PUT</stp>
        <stp>OpenInt</stp>
        <tr r="F21" s="7"/>
      </tp>
      <tp>
        <v>14138</v>
        <stp/>
        <stp>YahooFinanceOptions</stp>
        <stp>AAPL</stp>
        <stp>45807</stp>
        <stp>190</stp>
        <stp>PUT</stp>
        <stp>OpenInt</stp>
        <tr r="E22" s="7"/>
      </tp>
      <tp>
        <v>14004</v>
        <stp/>
        <stp>YahooFinanceOptions</stp>
        <stp>AAPL</stp>
        <stp>45800</stp>
        <stp>195</stp>
        <stp>PUT</stp>
        <stp>OpenInt</stp>
        <tr r="D21" s="7"/>
      </tp>
      <tp>
        <v>5328</v>
        <stp/>
        <stp>YahooFinanceOptions</stp>
        <stp>AAPL</stp>
        <stp>45807</stp>
        <stp>195</stp>
        <stp>PUT</stp>
        <stp>OpenInt</stp>
        <tr r="E21" s="7"/>
      </tp>
      <tp>
        <v>6944</v>
        <stp/>
        <stp>YahooFinanceOptions</stp>
        <stp>AAPL</stp>
        <stp>45800</stp>
        <stp>190</stp>
        <stp>PUT</stp>
        <stp>OpenInt</stp>
        <tr r="D22" s="7"/>
      </tp>
      <tp>
        <v>953</v>
        <stp/>
        <stp>YahooFinanceOptions</stp>
        <stp>AAPL</stp>
        <stp>45835</stp>
        <stp>190</stp>
        <stp>PUT</stp>
        <stp>OpenInt</stp>
        <tr r="I22" s="7"/>
      </tp>
      <tp>
        <v>4065</v>
        <stp/>
        <stp>YahooFinanceOptions</stp>
        <stp>AAPL</stp>
        <stp>45835</stp>
        <stp>195</stp>
        <stp>PUT</stp>
        <stp>OpenInt</stp>
        <tr r="I21" s="7"/>
      </tp>
      <tp>
        <v>784</v>
        <stp/>
        <stp>YahooFinanceOptions</stp>
        <stp>AAPL</stp>
        <stp>45821</stp>
        <stp>195</stp>
        <stp>PUT</stp>
        <stp>OpenInt</stp>
        <tr r="G21" s="7"/>
      </tp>
      <tp>
        <v>1396</v>
        <stp/>
        <stp>YahooFinanceOptions</stp>
        <stp>AAPL</stp>
        <stp>45821</stp>
        <stp>190</stp>
        <stp>PUT</stp>
        <stp>OpenInt</stp>
        <tr r="G22" s="7"/>
      </tp>
      <tp>
        <v>24661</v>
        <stp/>
        <stp>YahooFinanceOptions</stp>
        <stp>AAPL</stp>
        <stp>45828</stp>
        <stp>195</stp>
        <stp>PUT</stp>
        <stp>OpenInt</stp>
        <tr r="H21" s="7"/>
      </tp>
      <tp>
        <v>26407</v>
        <stp/>
        <stp>YahooFinanceOptions</stp>
        <stp>AAPL</stp>
        <stp>45828</stp>
        <stp>190</stp>
        <stp>PUT</stp>
        <stp>OpenInt</stp>
        <tr r="H22" s="7"/>
      </tp>
      <tp>
        <v>0</v>
        <stp/>
        <stp>YahooFinanceOptions</stp>
        <stp>AAPL</stp>
        <stp>46402</stp>
        <stp>150</stp>
        <stp>CALL</stp>
        <stp>ChangeInPercent</stp>
        <tr r="J6" s="5"/>
      </tp>
      <tp t="s">
        <v>AAPL</v>
        <stp/>
        <stp>YahooFinanceOptions</stp>
        <stp>AAPL260116C00150000</stp>
        <stp>OptionSymbol</stp>
        <tr r="E4" s="4"/>
      </tp>
      <tp>
        <v>45884</v>
        <stp/>
        <stp>YahooFinanceOptions</stp>
        <stp>AAPL</stp>
        <stp>46038</stp>
        <stp>200</stp>
        <stp>CALL</stp>
        <stp>ExpDate8</stp>
        <tr r="K8" s="7"/>
      </tp>
      <tp>
        <v>45919</v>
        <stp/>
        <stp>YahooFinanceOptions</stp>
        <stp>AAPL</stp>
        <stp>46038</stp>
        <stp>200</stp>
        <stp>CALL</stp>
        <stp>ExpDate9</stp>
        <tr r="L8" s="7"/>
      </tp>
      <tp>
        <v>45800</v>
        <stp/>
        <stp>YahooFinanceOptions</stp>
        <stp>AAPL</stp>
        <stp>46038</stp>
        <stp>200</stp>
        <stp>CALL</stp>
        <stp>ExpDate1</stp>
        <tr r="D8" s="7"/>
      </tp>
      <tp>
        <v>45807</v>
        <stp/>
        <stp>YahooFinanceOptions</stp>
        <stp>AAPL</stp>
        <stp>46038</stp>
        <stp>200</stp>
        <stp>CALL</stp>
        <stp>ExpDate2</stp>
        <tr r="E8" s="7"/>
      </tp>
      <tp>
        <v>45814</v>
        <stp/>
        <stp>YahooFinanceOptions</stp>
        <stp>AAPL</stp>
        <stp>46038</stp>
        <stp>200</stp>
        <stp>CALL</stp>
        <stp>ExpDate3</stp>
        <tr r="F8" s="7"/>
      </tp>
      <tp>
        <v>45821</v>
        <stp/>
        <stp>YahooFinanceOptions</stp>
        <stp>AAPL</stp>
        <stp>46038</stp>
        <stp>200</stp>
        <stp>CALL</stp>
        <stp>ExpDate4</stp>
        <tr r="G8" s="7"/>
      </tp>
      <tp>
        <v>45828</v>
        <stp/>
        <stp>YahooFinanceOptions</stp>
        <stp>AAPL</stp>
        <stp>46038</stp>
        <stp>200</stp>
        <stp>CALL</stp>
        <stp>ExpDate5</stp>
        <tr r="H8" s="7"/>
      </tp>
      <tp>
        <v>45835</v>
        <stp/>
        <stp>YahooFinanceOptions</stp>
        <stp>AAPL</stp>
        <stp>46038</stp>
        <stp>200</stp>
        <stp>CALL</stp>
        <stp>ExpDate6</stp>
        <tr r="I8" s="7"/>
      </tp>
      <tp>
        <v>45856</v>
        <stp/>
        <stp>YahooFinanceOptions</stp>
        <stp>AAPL</stp>
        <stp>46038</stp>
        <stp>200</stp>
        <stp>CALL</stp>
        <stp>ExpDate7</stp>
        <tr r="J8" s="7"/>
      </tp>
      <tp>
        <v>765</v>
        <stp/>
        <stp>YahooFinanceOptions</stp>
        <stp>AAPL</stp>
        <stp>45982</stp>
        <stp>195</stp>
        <stp>PUT</stp>
        <stp>OpenInt</stp>
        <tr r="N21" s="7"/>
      </tp>
      <tp>
        <v>419</v>
        <stp/>
        <stp>YahooFinanceOptions</stp>
        <stp>AAPL</stp>
        <stp>45982</stp>
        <stp>190</stp>
        <stp>PUT</stp>
        <stp>OpenInt</stp>
        <tr r="N22" s="7"/>
      </tp>
      <tp>
        <v>45799.357394224535</v>
        <stp/>
        <stp>YahooFinanceOptions</stp>
        <stp>AAPL</stp>
        <stp>46038</stp>
        <stp>210</stp>
        <stp>PUT</stp>
        <stp>rtd_LastUpdate</stp>
        <tr r="R18" s="3"/>
      </tp>
      <tp>
        <v>45799.357394224535</v>
        <stp/>
        <stp>YahooFinanceOptions</stp>
        <stp>AAPL</stp>
        <stp>46038</stp>
        <stp>205</stp>
        <stp>PUT</stp>
        <stp>rtd_LastUpdate</stp>
        <tr r="R19" s="3"/>
      </tp>
      <tp>
        <v>45799.357394224535</v>
        <stp/>
        <stp>YahooFinanceOptions</stp>
        <stp>AAPL</stp>
        <stp>46038</stp>
        <stp>200</stp>
        <stp>PUT</stp>
        <stp>rtd_LastUpdate</stp>
        <tr r="R20" s="3"/>
      </tp>
      <tp>
        <v>7293</v>
        <stp/>
        <stp>YahooFinanceOptions</stp>
        <stp>AAPL</stp>
        <stp>45947</stp>
        <stp>190</stp>
        <stp>PUT</stp>
        <stp>OpenInt</stp>
        <tr r="M22" s="7"/>
      </tp>
      <tp>
        <v>3208</v>
        <stp/>
        <stp>YahooFinanceOptions</stp>
        <stp>AAPL</stp>
        <stp>45947</stp>
        <stp>195</stp>
        <stp>PUT</stp>
        <stp>OpenInt</stp>
        <tr r="M21" s="7"/>
      </tp>
      <tp>
        <v>45799.357394224535</v>
        <stp/>
        <stp>YahooFinanceOptions</stp>
        <stp>AAPL</stp>
        <stp>46038</stp>
        <stp>195</stp>
        <stp>PUT</stp>
        <stp>rtd_LastUpdate</stp>
        <tr r="R21" s="3"/>
      </tp>
      <tp>
        <v>45799.357394224535</v>
        <stp/>
        <stp>YahooFinanceOptions</stp>
        <stp>AAPL</stp>
        <stp>46038</stp>
        <stp>190</stp>
        <stp>PUT</stp>
        <stp>rtd_LastUpdate</stp>
        <tr r="R22" s="3"/>
      </tp>
      <tp>
        <v>11337</v>
        <stp/>
        <stp>YahooFinanceOptions</stp>
        <stp>AAPL</stp>
        <stp>45919</stp>
        <stp>195</stp>
        <stp>PUT</stp>
        <stp>OpenInt</stp>
        <tr r="L21" s="7"/>
      </tp>
      <tp>
        <v>11335</v>
        <stp/>
        <stp>YahooFinanceOptions</stp>
        <stp>AAPL</stp>
        <stp>45919</stp>
        <stp>190</stp>
        <stp>PUT</stp>
        <stp>OpenInt</stp>
        <tr r="L22" s="7"/>
      </tp>
      <tp t="s">
        <v>AAPL</v>
        <stp/>
        <stp>YahooFinanceOptions</stp>
        <stp>AAPL270115C00200000</stp>
        <stp>OptionSymbol</stp>
        <tr r="E7" s="4"/>
      </tp>
      <tp t="s">
        <v/>
        <stp/>
        <stp>YahooFinanceOptions</stp>
        <stp>AAPL</stp>
        <stp>46402</stp>
        <stp>200</stp>
        <stp>CALL</stp>
        <stp>rtd_LastMessage</stp>
        <tr r="Q7" s="5"/>
      </tp>
      <tp>
        <v>0</v>
        <stp/>
        <stp>YahooFinanceOptions</stp>
        <stp>AAPL</stp>
        <stp>46038</stp>
        <stp>200</stp>
        <stp>CALL</stp>
        <stp>ChangeInPercent</stp>
        <tr r="J5" s="5"/>
      </tp>
      <tp t="s">
        <v>CALL</v>
        <stp/>
        <stp>YahooFinanceOptions</stp>
        <stp>AAPL260116C00200000</stp>
        <stp>Type</stp>
        <tr r="H5" s="4"/>
      </tp>
      <tp t="e">
        <v>#N/A</v>
        <stp/>
        <stp>YahooFinanceOptions</stp>
        <stp>AAPL</stp>
        <stp>Jan17'25</stp>
        <stp>200</stp>
        <stp>PUT</stp>
        <stp>Mark</stp>
        <tr r="E7" s="6"/>
      </tp>
      <tp>
        <v>0</v>
        <stp/>
        <stp>YahooFinanceOptions</stp>
        <stp>AAPL</stp>
        <stp>Jan16'26</stp>
        <stp>200</stp>
        <stp>PUT</stp>
        <stp>Mark</stp>
        <tr r="F7" s="6"/>
      </tp>
      <tp>
        <v>10</v>
        <stp/>
        <stp>YahooFinanceOptions</stp>
        <stp>AAPL</stp>
        <stp>46038</stp>
        <stp>5</stp>
        <stp>CALL</stp>
        <stp>Strike+1</stp>
        <tr r="E12" s="8"/>
      </tp>
      <tp t="s">
        <v>CALL</v>
        <stp/>
        <stp>YahooFinanceOptions</stp>
        <stp>AAPL270115C00150000</stp>
        <stp>Type</stp>
        <tr r="H6" s="4"/>
      </tp>
      <tp t="s">
        <v/>
        <stp/>
        <stp>YahooFinanceOptions</stp>
        <stp>AAPL</stp>
        <stp>46038</stp>
        <stp>210</stp>
        <stp>CALL</stp>
        <stp>rtd_LastMessage</stp>
        <tr r="T9" s="3"/>
      </tp>
      <tp t="s">
        <v>CALL</v>
        <stp/>
        <stp>YahooFinanceOptions</stp>
        <stp>AAPL270115C00200000</stp>
        <stp>Type</stp>
        <tr r="H7" s="4"/>
      </tp>
      <tp t="s">
        <v/>
        <stp/>
        <stp>YahooFinanceOptions</stp>
        <stp>AAPL</stp>
        <stp>46038</stp>
        <stp>200</stp>
        <stp>CALL</stp>
        <stp>rtd_LastMessage</stp>
        <tr r="Q5" s="5"/>
        <tr r="T11" s="3"/>
      </tp>
      <tp t="s">
        <v/>
        <stp/>
        <stp>YahooFinanceOptions</stp>
        <stp>AAPL</stp>
        <stp>46038</stp>
        <stp>205</stp>
        <stp>CALL</stp>
        <stp>rtd_LastMessage</stp>
        <tr r="T10" s="3"/>
      </tp>
      <tp>
        <v>0</v>
        <stp/>
        <stp>YahooFinanceOptions</stp>
        <stp>AAPL</stp>
        <stp>46402</stp>
        <stp>200</stp>
        <stp>CALL</stp>
        <stp>ChangeInPercent</stp>
        <tr r="J7" s="5"/>
      </tp>
      <tp t="s">
        <v>CALL</v>
        <stp/>
        <stp>YahooFinanceOptions</stp>
        <stp>AAPL260116C00150000</stp>
        <stp>Type</stp>
        <tr r="H4" s="4"/>
      </tp>
      <tp t="e">
        <v>#N/A</v>
        <stp/>
        <stp>YahooFinanceOptions</stp>
        <stp>AAPL</stp>
        <stp>46038</stp>
        <stp>0</stp>
        <stp>CALL</stp>
        <stp>ExpDate50</stp>
        <tr r="D60" s="8"/>
      </tp>
      <tp t="e">
        <v>#N/A</v>
        <stp/>
        <stp>YahooFinanceOptions</stp>
        <stp>AAPL</stp>
        <stp>46038</stp>
        <stp>0</stp>
        <stp>CALL</stp>
        <stp>ExpDate49</stp>
        <tr r="D59" s="8"/>
      </tp>
      <tp t="e">
        <v>#N/A</v>
        <stp/>
        <stp>YahooFinanceOptions</stp>
        <stp>AAPL</stp>
        <stp>46038</stp>
        <stp>0</stp>
        <stp>CALL</stp>
        <stp>ExpDate48</stp>
        <tr r="D58" s="8"/>
      </tp>
      <tp t="e">
        <v>#N/A</v>
        <stp/>
        <stp>YahooFinanceOptions</stp>
        <stp>AAPL</stp>
        <stp>46038</stp>
        <stp>0</stp>
        <stp>CALL</stp>
        <stp>ExpDate43</stp>
        <tr r="D53" s="8"/>
      </tp>
      <tp t="e">
        <v>#N/A</v>
        <stp/>
        <stp>YahooFinanceOptions</stp>
        <stp>AAPL</stp>
        <stp>46038</stp>
        <stp>0</stp>
        <stp>CALL</stp>
        <stp>ExpDate42</stp>
        <tr r="D52" s="8"/>
      </tp>
      <tp t="e">
        <v>#N/A</v>
        <stp/>
        <stp>YahooFinanceOptions</stp>
        <stp>AAPL</stp>
        <stp>46038</stp>
        <stp>0</stp>
        <stp>CALL</stp>
        <stp>ExpDate41</stp>
        <tr r="D51" s="8"/>
      </tp>
      <tp t="e">
        <v>#N/A</v>
        <stp/>
        <stp>YahooFinanceOptions</stp>
        <stp>AAPL</stp>
        <stp>46038</stp>
        <stp>0</stp>
        <stp>CALL</stp>
        <stp>ExpDate40</stp>
        <tr r="D50" s="8"/>
      </tp>
      <tp t="e">
        <v>#N/A</v>
        <stp/>
        <stp>YahooFinanceOptions</stp>
        <stp>AAPL</stp>
        <stp>46038</stp>
        <stp>0</stp>
        <stp>CALL</stp>
        <stp>ExpDate47</stp>
        <tr r="D57" s="8"/>
      </tp>
      <tp t="e">
        <v>#N/A</v>
        <stp/>
        <stp>YahooFinanceOptions</stp>
        <stp>AAPL</stp>
        <stp>46038</stp>
        <stp>0</stp>
        <stp>CALL</stp>
        <stp>ExpDate46</stp>
        <tr r="D56" s="8"/>
      </tp>
      <tp t="e">
        <v>#N/A</v>
        <stp/>
        <stp>YahooFinanceOptions</stp>
        <stp>AAPL</stp>
        <stp>46038</stp>
        <stp>0</stp>
        <stp>CALL</stp>
        <stp>ExpDate45</stp>
        <tr r="D55" s="8"/>
      </tp>
      <tp t="e">
        <v>#N/A</v>
        <stp/>
        <stp>YahooFinanceOptions</stp>
        <stp>AAPL</stp>
        <stp>46038</stp>
        <stp>0</stp>
        <stp>CALL</stp>
        <stp>ExpDate44</stp>
        <tr r="D54" s="8"/>
      </tp>
      <tp>
        <v>46555</v>
        <stp/>
        <stp>YahooFinanceOptions</stp>
        <stp>AAPL</stp>
        <stp>46038</stp>
        <stp>0</stp>
        <stp>CALL</stp>
        <stp>ExpDate19</stp>
        <tr r="D29" s="8"/>
      </tp>
      <tp>
        <v>46402</v>
        <stp/>
        <stp>YahooFinanceOptions</stp>
        <stp>AAPL</stp>
        <stp>46038</stp>
        <stp>0</stp>
        <stp>CALL</stp>
        <stp>ExpDate18</stp>
        <tr r="D28" s="8"/>
      </tp>
      <tp>
        <v>46038</v>
        <stp/>
        <stp>YahooFinanceOptions</stp>
        <stp>AAPL</stp>
        <stp>46038</stp>
        <stp>0</stp>
        <stp>CALL</stp>
        <stp>ExpDate13</stp>
        <tr r="D23" s="8"/>
      </tp>
      <tp>
        <v>46010</v>
        <stp/>
        <stp>YahooFinanceOptions</stp>
        <stp>AAPL</stp>
        <stp>46038</stp>
        <stp>0</stp>
        <stp>CALL</stp>
        <stp>ExpDate12</stp>
        <tr r="D22" s="8"/>
      </tp>
      <tp>
        <v>45982</v>
        <stp/>
        <stp>YahooFinanceOptions</stp>
        <stp>AAPL</stp>
        <stp>46038</stp>
        <stp>0</stp>
        <stp>CALL</stp>
        <stp>ExpDate11</stp>
        <tr r="D21" s="8"/>
      </tp>
      <tp>
        <v>45947</v>
        <stp/>
        <stp>YahooFinanceOptions</stp>
        <stp>AAPL</stp>
        <stp>46038</stp>
        <stp>0</stp>
        <stp>CALL</stp>
        <stp>ExpDate10</stp>
        <tr r="D20" s="8"/>
      </tp>
      <tp>
        <v>46374</v>
        <stp/>
        <stp>YahooFinanceOptions</stp>
        <stp>AAPL</stp>
        <stp>46038</stp>
        <stp>0</stp>
        <stp>CALL</stp>
        <stp>ExpDate17</stp>
        <tr r="D27" s="8"/>
      </tp>
      <tp>
        <v>46283</v>
        <stp/>
        <stp>YahooFinanceOptions</stp>
        <stp>AAPL</stp>
        <stp>46038</stp>
        <stp>0</stp>
        <stp>CALL</stp>
        <stp>ExpDate16</stp>
        <tr r="D26" s="8"/>
      </tp>
      <tp>
        <v>46191</v>
        <stp/>
        <stp>YahooFinanceOptions</stp>
        <stp>AAPL</stp>
        <stp>46038</stp>
        <stp>0</stp>
        <stp>CALL</stp>
        <stp>ExpDate15</stp>
        <tr r="D25" s="8"/>
      </tp>
      <tp>
        <v>46101</v>
        <stp/>
        <stp>YahooFinanceOptions</stp>
        <stp>AAPL</stp>
        <stp>46038</stp>
        <stp>0</stp>
        <stp>CALL</stp>
        <stp>ExpDate14</stp>
        <tr r="D24" s="8"/>
      </tp>
      <tp t="e">
        <v>#N/A</v>
        <stp/>
        <stp>YahooFinanceOptions</stp>
        <stp>AAPL</stp>
        <stp>46038</stp>
        <stp>0</stp>
        <stp>CALL</stp>
        <stp>ExpDate39</stp>
        <tr r="D49" s="8"/>
      </tp>
      <tp t="e">
        <v>#N/A</v>
        <stp/>
        <stp>YahooFinanceOptions</stp>
        <stp>AAPL</stp>
        <stp>46038</stp>
        <stp>0</stp>
        <stp>CALL</stp>
        <stp>ExpDate38</stp>
        <tr r="D48" s="8"/>
      </tp>
      <tp t="e">
        <v>#N/A</v>
        <stp/>
        <stp>YahooFinanceOptions</stp>
        <stp>AAPL</stp>
        <stp>46038</stp>
        <stp>0</stp>
        <stp>CALL</stp>
        <stp>ExpDate33</stp>
        <tr r="D43" s="8"/>
      </tp>
      <tp t="e">
        <v>#N/A</v>
        <stp/>
        <stp>YahooFinanceOptions</stp>
        <stp>AAPL</stp>
        <stp>46038</stp>
        <stp>0</stp>
        <stp>CALL</stp>
        <stp>ExpDate32</stp>
        <tr r="D42" s="8"/>
      </tp>
      <tp t="e">
        <v>#N/A</v>
        <stp/>
        <stp>YahooFinanceOptions</stp>
        <stp>AAPL</stp>
        <stp>46038</stp>
        <stp>0</stp>
        <stp>CALL</stp>
        <stp>ExpDate31</stp>
        <tr r="D41" s="8"/>
      </tp>
      <tp t="e">
        <v>#N/A</v>
        <stp/>
        <stp>YahooFinanceOptions</stp>
        <stp>AAPL</stp>
        <stp>46038</stp>
        <stp>0</stp>
        <stp>CALL</stp>
        <stp>ExpDate30</stp>
        <tr r="D40" s="8"/>
      </tp>
      <tp t="e">
        <v>#N/A</v>
        <stp/>
        <stp>YahooFinanceOptions</stp>
        <stp>AAPL</stp>
        <stp>46038</stp>
        <stp>0</stp>
        <stp>CALL</stp>
        <stp>ExpDate37</stp>
        <tr r="D47" s="8"/>
      </tp>
      <tp t="e">
        <v>#N/A</v>
        <stp/>
        <stp>YahooFinanceOptions</stp>
        <stp>AAPL</stp>
        <stp>46038</stp>
        <stp>0</stp>
        <stp>CALL</stp>
        <stp>ExpDate36</stp>
        <tr r="D46" s="8"/>
      </tp>
      <tp t="e">
        <v>#N/A</v>
        <stp/>
        <stp>YahooFinanceOptions</stp>
        <stp>AAPL</stp>
        <stp>46038</stp>
        <stp>0</stp>
        <stp>CALL</stp>
        <stp>ExpDate35</stp>
        <tr r="D45" s="8"/>
      </tp>
      <tp t="e">
        <v>#N/A</v>
        <stp/>
        <stp>YahooFinanceOptions</stp>
        <stp>AAPL</stp>
        <stp>46038</stp>
        <stp>0</stp>
        <stp>CALL</stp>
        <stp>ExpDate34</stp>
        <tr r="D44" s="8"/>
      </tp>
      <tp t="e">
        <v>#N/A</v>
        <stp/>
        <stp>YahooFinanceOptions</stp>
        <stp>AAPL</stp>
        <stp>46038</stp>
        <stp>0</stp>
        <stp>CALL</stp>
        <stp>ExpDate29</stp>
        <tr r="D39" s="8"/>
      </tp>
      <tp t="e">
        <v>#N/A</v>
        <stp/>
        <stp>YahooFinanceOptions</stp>
        <stp>AAPL</stp>
        <stp>46038</stp>
        <stp>0</stp>
        <stp>CALL</stp>
        <stp>ExpDate28</stp>
        <tr r="D38" s="8"/>
      </tp>
      <tp t="e">
        <v>#N/A</v>
        <stp/>
        <stp>YahooFinanceOptions</stp>
        <stp>AAPL</stp>
        <stp>46038</stp>
        <stp>0</stp>
        <stp>CALL</stp>
        <stp>ExpDate23</stp>
        <tr r="D33" s="8"/>
      </tp>
      <tp t="e">
        <v>#N/A</v>
        <stp/>
        <stp>YahooFinanceOptions</stp>
        <stp>AAPL</stp>
        <stp>46038</stp>
        <stp>0</stp>
        <stp>CALL</stp>
        <stp>ExpDate22</stp>
        <tr r="D32" s="8"/>
      </tp>
      <tp t="e">
        <v>#N/A</v>
        <stp/>
        <stp>YahooFinanceOptions</stp>
        <stp>AAPL</stp>
        <stp>46038</stp>
        <stp>0</stp>
        <stp>CALL</stp>
        <stp>ExpDate21</stp>
        <tr r="D31" s="8"/>
      </tp>
      <tp>
        <v>46738</v>
        <stp/>
        <stp>YahooFinanceOptions</stp>
        <stp>AAPL</stp>
        <stp>46038</stp>
        <stp>0</stp>
        <stp>CALL</stp>
        <stp>ExpDate20</stp>
        <tr r="D30" s="8"/>
      </tp>
      <tp t="e">
        <v>#N/A</v>
        <stp/>
        <stp>YahooFinanceOptions</stp>
        <stp>AAPL</stp>
        <stp>46038</stp>
        <stp>0</stp>
        <stp>CALL</stp>
        <stp>ExpDate27</stp>
        <tr r="D37" s="8"/>
      </tp>
      <tp t="e">
        <v>#N/A</v>
        <stp/>
        <stp>YahooFinanceOptions</stp>
        <stp>AAPL</stp>
        <stp>46038</stp>
        <stp>0</stp>
        <stp>CALL</stp>
        <stp>ExpDate26</stp>
        <tr r="D36" s="8"/>
      </tp>
      <tp t="e">
        <v>#N/A</v>
        <stp/>
        <stp>YahooFinanceOptions</stp>
        <stp>AAPL</stp>
        <stp>46038</stp>
        <stp>0</stp>
        <stp>CALL</stp>
        <stp>ExpDate25</stp>
        <tr r="D35" s="8"/>
      </tp>
      <tp t="e">
        <v>#N/A</v>
        <stp/>
        <stp>YahooFinanceOptions</stp>
        <stp>AAPL</stp>
        <stp>46038</stp>
        <stp>0</stp>
        <stp>CALL</stp>
        <stp>ExpDate24</stp>
        <tr r="D34" s="8"/>
      </tp>
      <tp>
        <v>45799.361831712966</v>
        <stp/>
        <stp>YahooFinanceOptions</stp>
        <stp>AAPL270115C00150000</stp>
        <stp>rtd_LastUpdate</stp>
        <tr r="S6" s="4"/>
      </tp>
      <tp>
        <v>45799.357394224535</v>
        <stp/>
        <stp>YahooFinanceOptions</stp>
        <stp>AAPL260116C00200000</stp>
        <stp>rtd_LastUpdate</stp>
        <tr r="S5" s="4"/>
      </tp>
      <tp>
        <v>45799.357394224535</v>
        <stp/>
        <stp>YahooFinanceOptions</stp>
        <stp>AAPL260116C00150000</stp>
        <stp>rtd_LastUpdate</stp>
        <tr r="S4" s="4"/>
      </tp>
      <tp>
        <v>45799.361831712966</v>
        <stp/>
        <stp>YahooFinanceOptions</stp>
        <stp>AAPL270115C00200000</stp>
        <stp>rtd_LastUpdate</stp>
        <tr r="S7" s="4"/>
      </tp>
      <tp>
        <v>200</v>
        <stp/>
        <stp>YahooFinanceOptions</stp>
        <stp>AAPL</stp>
        <stp>46038</stp>
        <stp>202.09</stp>
        <stp>CALL</stp>
        <stp>Strike~0</stp>
        <tr r="D11" s="3"/>
        <tr r="B11" s="7"/>
        <tr r="B20" s="7"/>
      </tp>
      <tp>
        <v>874</v>
        <stp/>
        <stp>YahooFinanceOptions</stp>
        <stp>AAPL</stp>
        <stp>46038</stp>
        <stp>210</stp>
        <stp>PUT</stp>
        <stp>Volume</stp>
        <tr r="M18" s="3"/>
      </tp>
      <tp>
        <v>796</v>
        <stp/>
        <stp>YahooFinanceOptions</stp>
        <stp>AAPL</stp>
        <stp>46038</stp>
        <stp>200</stp>
        <stp>PUT</stp>
        <stp>Volume</stp>
        <tr r="M20" s="3"/>
      </tp>
      <tp>
        <v>711</v>
        <stp/>
        <stp>YahooFinanceOptions</stp>
        <stp>AAPL</stp>
        <stp>46038</stp>
        <stp>205</stp>
        <stp>PUT</stp>
        <stp>Volume</stp>
        <tr r="M19" s="3"/>
      </tp>
      <tp>
        <v>119</v>
        <stp/>
        <stp>YahooFinanceOptions</stp>
        <stp>AAPL</stp>
        <stp>46038</stp>
        <stp>190</stp>
        <stp>PUT</stp>
        <stp>Volume</stp>
        <tr r="M22" s="3"/>
      </tp>
      <tp>
        <v>106</v>
        <stp/>
        <stp>YahooFinanceOptions</stp>
        <stp>AAPL</stp>
        <stp>46038</stp>
        <stp>195</stp>
        <stp>PUT</stp>
        <stp>Volume</stp>
        <tr r="M21" s="3"/>
      </tp>
      <tp>
        <v>0.36183171296296296</v>
        <stp/>
        <stp>YahooFinanceOptions</stp>
        <stp>AAPL</stp>
        <stp>46402</stp>
        <stp>200</stp>
        <stp>CALL</stp>
        <stp>rtd_LastUpdateTime</stp>
        <tr r="T7" s="5"/>
      </tp>
      <tp>
        <v>0.36183171296296296</v>
        <stp/>
        <stp>YahooFinanceOptions</stp>
        <stp>AAPL</stp>
        <stp>46402</stp>
        <stp>150</stp>
        <stp>CALL</stp>
        <stp>rtd_LastUpdateTime</stp>
        <tr r="T6" s="5"/>
      </tp>
      <tp>
        <v>200</v>
        <stp/>
        <stp>YahooFinanceOptions</stp>
        <stp>AAPL</stp>
        <stp>46038</stp>
        <stp>202.09</stp>
        <stp>PUT</stp>
        <stp>Strike~0</stp>
        <tr r="D20" s="3"/>
      </tp>
      <tp>
        <v>0.35739422453703706</v>
        <stp/>
        <stp>YahooFinanceOptions</stp>
        <stp>AAPL</stp>
        <stp>46038</stp>
        <stp>200</stp>
        <stp>CALL</stp>
        <stp>rtd_LastUpdateTime</stp>
        <tr r="T5" s="5"/>
      </tp>
      <tp>
        <v>0.35739422453703706</v>
        <stp/>
        <stp>YahooFinanceOptions</stp>
        <stp>AAPL</stp>
        <stp>46038</stp>
        <stp>150</stp>
        <stp>CALL</stp>
        <stp>rtd_LastUpdateTime</stp>
        <tr r="T6" s="8"/>
        <tr r="T4" s="5"/>
      </tp>
      <tp>
        <v>0</v>
        <stp/>
        <stp>YahooFinanceOptions</stp>
        <stp>AAPL</stp>
        <stp>46038</stp>
        <stp>195</stp>
        <stp>PUT</stp>
        <stp>Change</stp>
        <tr r="H21" s="3"/>
      </tp>
      <tp>
        <v>0</v>
        <stp/>
        <stp>YahooFinanceOptions</stp>
        <stp>AAPL</stp>
        <stp>46038</stp>
        <stp>190</stp>
        <stp>PUT</stp>
        <stp>Change</stp>
        <tr r="H22" s="3"/>
      </tp>
      <tp>
        <v>0</v>
        <stp/>
        <stp>YahooFinanceOptions</stp>
        <stp>AAPL</stp>
        <stp>46038</stp>
        <stp>205</stp>
        <stp>PUT</stp>
        <stp>Change</stp>
        <tr r="H19" s="3"/>
      </tp>
      <tp>
        <v>0</v>
        <stp/>
        <stp>YahooFinanceOptions</stp>
        <stp>AAPL</stp>
        <stp>46038</stp>
        <stp>200</stp>
        <stp>PUT</stp>
        <stp>Change</stp>
        <tr r="H20" s="3"/>
      </tp>
      <tp>
        <v>0</v>
        <stp/>
        <stp>YahooFinanceOptions</stp>
        <stp>AAPL</stp>
        <stp>46038</stp>
        <stp>210</stp>
        <stp>PUT</stp>
        <stp>Change</stp>
        <tr r="H18" s="3"/>
      </tp>
      <tp>
        <v>-4.7700043000000001</v>
        <stp/>
        <stp>YahooFinanceQuotes</stp>
        <stp>AAPL</stp>
        <stp>Change</stp>
        <tr r="D4" s="3"/>
        <tr r="D4" s="7"/>
      </tp>
      <tp>
        <v>45799</v>
        <stp/>
        <stp>YahooFinanceOptions</stp>
        <stp>AAPL</stp>
        <stp>46402</stp>
        <stp>200</stp>
        <stp>CALL</stp>
        <stp>rtd_LastUpdateDate</stp>
        <tr r="S7" s="5"/>
      </tp>
      <tp>
        <v>45799</v>
        <stp/>
        <stp>YahooFinanceOptions</stp>
        <stp>AAPL</stp>
        <stp>46402</stp>
        <stp>150</stp>
        <stp>CALL</stp>
        <stp>rtd_LastUpdateDate</stp>
        <tr r="S6" s="5"/>
      </tp>
      <tp>
        <v>45799</v>
        <stp/>
        <stp>YahooFinanceOptions</stp>
        <stp>AAPL</stp>
        <stp>46038</stp>
        <stp>200</stp>
        <stp>CALL</stp>
        <stp>rtd_LastUpdateDate</stp>
        <tr r="S5" s="5"/>
      </tp>
      <tp>
        <v>45799</v>
        <stp/>
        <stp>YahooFinanceOptions</stp>
        <stp>AAPL</stp>
        <stp>46038</stp>
        <stp>150</stp>
        <stp>CALL</stp>
        <stp>rtd_LastUpdateDate</stp>
        <tr r="S6" s="8"/>
        <tr r="S4" s="5"/>
      </tp>
      <tp>
        <v>45799.357394224535</v>
        <stp/>
        <stp>YahooFinanceOptions</stp>
        <stp>AAPL</stp>
        <stp>46038</stp>
        <stp>205</stp>
        <stp>CALL</stp>
        <stp>rtd_LastUpdate</stp>
        <tr r="R10" s="3"/>
      </tp>
      <tp>
        <v>45799.357394224535</v>
        <stp/>
        <stp>YahooFinanceOptions</stp>
        <stp>AAPL</stp>
        <stp>46038</stp>
        <stp>200</stp>
        <stp>CALL</stp>
        <stp>rtd_LastUpdate</stp>
        <tr r="R11" s="3"/>
        <tr r="R5" s="5"/>
      </tp>
      <tp>
        <v>45799.357394224535</v>
        <stp/>
        <stp>YahooFinanceOptions</stp>
        <stp>AAPL</stp>
        <stp>46038</stp>
        <stp>210</stp>
        <stp>CALL</stp>
        <stp>rtd_LastUpdate</stp>
        <tr r="R9" s="3"/>
      </tp>
      <tp>
        <v>0</v>
        <stp/>
        <stp>YahooFinanceOptions</stp>
        <stp>AAPL</stp>
        <stp>46038</stp>
        <stp>210</stp>
        <stp>CALL</stp>
        <stp>ChangePercent</stp>
        <tr r="I9" s="3"/>
      </tp>
      <tp>
        <v>0</v>
        <stp/>
        <stp>YahooFinanceOptions</stp>
        <stp>AAPL</stp>
        <stp>46038</stp>
        <stp>200</stp>
        <stp>CALL</stp>
        <stp>ChangePercent</stp>
        <tr r="I11" s="3"/>
      </tp>
      <tp>
        <v>0</v>
        <stp/>
        <stp>YahooFinanceOptions</stp>
        <stp>AAPL</stp>
        <stp>46038</stp>
        <stp>205</stp>
        <stp>CALL</stp>
        <stp>ChangePercent</stp>
        <tr r="I10" s="3"/>
      </tp>
      <tp>
        <v>0</v>
        <stp/>
        <stp>YahooFinanceOptions</stp>
        <stp>AAPL</stp>
        <stp>46038</stp>
        <stp>190</stp>
        <stp>CALL</stp>
        <stp>ChangePercent</stp>
        <tr r="I13" s="3"/>
      </tp>
      <tp>
        <v>0</v>
        <stp/>
        <stp>YahooFinanceOptions</stp>
        <stp>AAPL</stp>
        <stp>46038</stp>
        <stp>195</stp>
        <stp>CALL</stp>
        <stp>ChangePercent</stp>
        <tr r="I12" s="3"/>
      </tp>
      <tp>
        <v>45799.357394224535</v>
        <stp/>
        <stp>YahooFinanceOptions</stp>
        <stp>AAPL</stp>
        <stp>46038</stp>
        <stp>150</stp>
        <stp>CALL</stp>
        <stp>rtd_LastUpdate</stp>
        <tr r="R4" s="5"/>
      </tp>
      <tp>
        <v>45799.357394224535</v>
        <stp/>
        <stp>YahooFinanceOptions</stp>
        <stp>AAPL</stp>
        <stp>46038</stp>
        <stp>195</stp>
        <stp>CALL</stp>
        <stp>rtd_LastUpdate</stp>
        <tr r="R12" s="3"/>
      </tp>
      <tp>
        <v>45799.357394224535</v>
        <stp/>
        <stp>YahooFinanceOptions</stp>
        <stp>AAPL</stp>
        <stp>46038</stp>
        <stp>190</stp>
        <stp>CALL</stp>
        <stp>rtd_LastUpdate</stp>
        <tr r="R13" s="3"/>
      </tp>
      <tp>
        <v>45799.361831712966</v>
        <stp/>
        <stp>YahooFinanceOptions</stp>
        <stp>AAPL</stp>
        <stp>46402</stp>
        <stp>200</stp>
        <stp>CALL</stp>
        <stp>rtd_LastUpdate</stp>
        <tr r="R7" s="5"/>
      </tp>
      <tp>
        <v>0</v>
        <stp/>
        <stp>YahooFinanceOptions</stp>
        <stp>AAPL</stp>
        <stp>46038</stp>
        <stp>195</stp>
        <stp>CALL</stp>
        <stp>Ask</stp>
        <tr r="L12" s="3"/>
      </tp>
      <tp>
        <v>0</v>
        <stp/>
        <stp>YahooFinanceOptions</stp>
        <stp>AAPL</stp>
        <stp>46038</stp>
        <stp>190</stp>
        <stp>CALL</stp>
        <stp>Ask</stp>
        <tr r="L13" s="3"/>
      </tp>
      <tp>
        <v>0</v>
        <stp/>
        <stp>YahooFinanceOptions</stp>
        <stp>AAPL</stp>
        <stp>46038</stp>
        <stp>195</stp>
        <stp>CALL</stp>
        <stp>Bid</stp>
        <tr r="K12" s="3"/>
      </tp>
      <tp>
        <v>0</v>
        <stp/>
        <stp>YahooFinanceOptions</stp>
        <stp>AAPL</stp>
        <stp>46038</stp>
        <stp>190</stp>
        <stp>CALL</stp>
        <stp>Bid</stp>
        <tr r="K13" s="3"/>
      </tp>
      <tp>
        <v>45799.361831712966</v>
        <stp/>
        <stp>YahooFinanceOptions</stp>
        <stp>AAPL</stp>
        <stp>46402</stp>
        <stp>150</stp>
        <stp>CALL</stp>
        <stp>rtd_LastUpdate</stp>
        <tr r="R6" s="5"/>
      </tp>
      <tp>
        <v>0</v>
        <stp/>
        <stp>YahooFinanceOptions</stp>
        <stp>AAPL</stp>
        <stp>46038</stp>
        <stp>150</stp>
        <stp>CALL</stp>
        <stp>Ask</stp>
        <tr r="M6" s="8"/>
        <tr r="M4" s="5"/>
      </tp>
      <tp>
        <v>0</v>
        <stp/>
        <stp>YahooFinanceOptions</stp>
        <stp>AAPL</stp>
        <stp>46402</stp>
        <stp>150</stp>
        <stp>CALL</stp>
        <stp>Bid</stp>
        <tr r="L6" s="5"/>
      </tp>
      <tp>
        <v>0</v>
        <stp/>
        <stp>YahooFinanceOptions</stp>
        <stp>AAPL</stp>
        <stp>46402</stp>
        <stp>150</stp>
        <stp>CALL</stp>
        <stp>Ask</stp>
        <tr r="M6" s="5"/>
      </tp>
      <tp>
        <v>0</v>
        <stp/>
        <stp>YahooFinanceOptions</stp>
        <stp>AAPL</stp>
        <stp>46038</stp>
        <stp>150</stp>
        <stp>CALL</stp>
        <stp>Bid</stp>
        <tr r="L6" s="8"/>
        <tr r="L4" s="5"/>
      </tp>
      <tp>
        <v>0</v>
        <stp/>
        <stp>YahooFinanceOptions</stp>
        <stp>AAPL</stp>
        <stp>46038</stp>
        <stp>205</stp>
        <stp>CALL</stp>
        <stp>Ask</stp>
        <tr r="L10" s="3"/>
      </tp>
      <tp>
        <v>0</v>
        <stp/>
        <stp>YahooFinanceOptions</stp>
        <stp>AAPL</stp>
        <stp>46038</stp>
        <stp>200</stp>
        <stp>CALL</stp>
        <stp>Ask</stp>
        <tr r="L11" s="3"/>
        <tr r="M5" s="5"/>
      </tp>
      <tp>
        <v>0</v>
        <stp/>
        <stp>YahooFinanceOptions</stp>
        <stp>AAPL</stp>
        <stp>46402</stp>
        <stp>200</stp>
        <stp>CALL</stp>
        <stp>Bid</stp>
        <tr r="L7" s="5"/>
      </tp>
      <tp t="s">
        <v/>
        <stp/>
        <stp>YahooFinanceQuotes</stp>
        <stp>AAPL</stp>
        <stp>rtd_LastMessage</stp>
        <tr r="T4" s="3"/>
        <tr r="O4" s="7"/>
      </tp>
      <tp>
        <v>0</v>
        <stp/>
        <stp>YahooFinanceOptions</stp>
        <stp>AAPL</stp>
        <stp>46038</stp>
        <stp>210</stp>
        <stp>CALL</stp>
        <stp>Ask</stp>
        <tr r="L9" s="3"/>
      </tp>
      <tp>
        <v>0</v>
        <stp/>
        <stp>YahooFinanceOptions</stp>
        <stp>AAPL</stp>
        <stp>46038</stp>
        <stp>210</stp>
        <stp>CALL</stp>
        <stp>Bid</stp>
        <tr r="K9" s="3"/>
      </tp>
      <tp>
        <v>0</v>
        <stp/>
        <stp>YahooFinanceOptions</stp>
        <stp>AAPL</stp>
        <stp>46402</stp>
        <stp>200</stp>
        <stp>CALL</stp>
        <stp>Ask</stp>
        <tr r="M7" s="5"/>
      </tp>
      <tp>
        <v>43012</v>
        <stp/>
        <stp>YahooFinanceOptions</stp>
        <stp>AAPL260116C00150000</stp>
        <stp>OpenInt</stp>
        <tr r="P4" s="4"/>
      </tp>
      <tp>
        <v>3740</v>
        <stp/>
        <stp>YahooFinanceOptions</stp>
        <stp>AAPL270115C00200000</stp>
        <stp>OpenInt</stp>
        <tr r="P7" s="4"/>
      </tp>
      <tp>
        <v>2010</v>
        <stp/>
        <stp>YahooFinanceOptions</stp>
        <stp>AAPL270115C00150000</stp>
        <stp>OpenInt</stp>
        <tr r="P6" s="4"/>
      </tp>
      <tp>
        <v>17906</v>
        <stp/>
        <stp>YahooFinanceOptions</stp>
        <stp>AAPL260116C00200000</stp>
        <stp>OpenInt</stp>
        <tr r="P5" s="4"/>
      </tp>
      <tp>
        <v>0</v>
        <stp/>
        <stp>YahooFinanceOptions</stp>
        <stp>AAPL</stp>
        <stp>46038</stp>
        <stp>205</stp>
        <stp>CALL</stp>
        <stp>Bid</stp>
        <tr r="K10" s="3"/>
      </tp>
      <tp>
        <v>0</v>
        <stp/>
        <stp>YahooFinanceOptions</stp>
        <stp>AAPL</stp>
        <stp>46038</stp>
        <stp>200</stp>
        <stp>CALL</stp>
        <stp>Bid</stp>
        <tr r="K11" s="3"/>
        <tr r="L5" s="5"/>
      </tp>
      <tp>
        <v>0.35739422453703706</v>
        <stp/>
        <stp>YahooFinanceOptions</stp>
        <stp>AAPL260116C00200000</stp>
        <stp>rtd_LastUpdateTime</stp>
        <tr r="U5" s="4"/>
      </tp>
      <tp>
        <v>0.36183171296296296</v>
        <stp/>
        <stp>YahooFinanceOptions</stp>
        <stp>AAPL270115C00150000</stp>
        <stp>rtd_LastUpdateTime</stp>
        <tr r="U6" s="4"/>
      </tp>
      <tp>
        <v>0.36183171296296296</v>
        <stp/>
        <stp>YahooFinanceOptions</stp>
        <stp>AAPL270115C00200000</stp>
        <stp>rtd_LastUpdateTime</stp>
        <tr r="U7" s="4"/>
      </tp>
      <tp>
        <v>0.35739422453703706</v>
        <stp/>
        <stp>YahooFinanceOptions</stp>
        <stp>AAPL260116C00150000</stp>
        <stp>rtd_LastUpdateTime</stp>
        <tr r="U4" s="4"/>
      </tp>
      <tp t="s">
        <v>AAPL260116P00190000</v>
        <stp/>
        <stp>YahooFinanceOptions</stp>
        <stp>AAPL</stp>
        <stp>46038</stp>
        <stp>190</stp>
        <stp>PUT</stp>
        <stp>OptionCode</stp>
        <tr r="Q22" s="3"/>
      </tp>
      <tp t="s">
        <v>AAPL260116P00195000</v>
        <stp/>
        <stp>YahooFinanceOptions</stp>
        <stp>AAPL</stp>
        <stp>46038</stp>
        <stp>195</stp>
        <stp>PUT</stp>
        <stp>OptionCode</stp>
        <tr r="Q21" s="3"/>
      </tp>
      <tp t="s">
        <v>AAPL260116P00200000</v>
        <stp/>
        <stp>YahooFinanceOptions</stp>
        <stp>AAPL</stp>
        <stp>46038</stp>
        <stp>200</stp>
        <stp>PUT</stp>
        <stp>OptionCode</stp>
        <tr r="Q20" s="3"/>
      </tp>
      <tp t="s">
        <v>AAPL260116P00205000</v>
        <stp/>
        <stp>YahooFinanceOptions</stp>
        <stp>AAPL</stp>
        <stp>46038</stp>
        <stp>205</stp>
        <stp>PUT</stp>
        <stp>OptionCode</stp>
        <tr r="Q19" s="3"/>
      </tp>
      <tp t="s">
        <v>AAPL260116P00210000</v>
        <stp/>
        <stp>YahooFinanceOptions</stp>
        <stp>AAPL</stp>
        <stp>46038</stp>
        <stp>210</stp>
        <stp>PUT</stp>
        <stp>OptionCode</stp>
        <tr r="Q18" s="3"/>
      </tp>
      <tp>
        <v>1.5634843750000002E-2</v>
        <stp/>
        <stp>YahooFinanceOptions</stp>
        <stp>AAPL</stp>
        <stp>46038</stp>
        <stp>210</stp>
        <stp>CALL</stp>
        <stp>ImpVol</stp>
        <tr r="O9" s="3"/>
      </tp>
      <tp>
        <v>3.9162109375000002E-3</v>
        <stp/>
        <stp>YahooFinanceOptions</stp>
        <stp>AAPL</stp>
        <stp>46038</stp>
        <stp>205</stp>
        <stp>CALL</stp>
        <stp>ImpVol</stp>
        <tr r="O10" s="3"/>
      </tp>
      <tp>
        <v>1.0000000000000003E-5</v>
        <stp/>
        <stp>YahooFinanceOptions</stp>
        <stp>AAPL</stp>
        <stp>46038</stp>
        <stp>200</stp>
        <stp>CALL</stp>
        <stp>ImpVol</stp>
        <tr r="O11" s="3"/>
      </tp>
      <tp>
        <v>0</v>
        <stp/>
        <stp>YahooFinanceOptions</stp>
        <stp>AAPL</stp>
        <stp>46038</stp>
        <stp>195</stp>
        <stp>PUT</stp>
        <stp>Ask</stp>
        <tr r="L21" s="3"/>
      </tp>
      <tp>
        <v>0</v>
        <stp/>
        <stp>YahooFinanceOptions</stp>
        <stp>AAPL</stp>
        <stp>46038</stp>
        <stp>190</stp>
        <stp>PUT</stp>
        <stp>Ask</stp>
        <tr r="L22" s="3"/>
      </tp>
      <tp>
        <v>0</v>
        <stp/>
        <stp>YahooFinanceOptions</stp>
        <stp>AAPL</stp>
        <stp>46038</stp>
        <stp>200</stp>
        <stp>PUT</stp>
        <stp>Bid</stp>
        <tr r="K20" s="3"/>
      </tp>
      <tp>
        <v>0</v>
        <stp/>
        <stp>YahooFinanceOptions</stp>
        <stp>AAPL</stp>
        <stp>46038</stp>
        <stp>205</stp>
        <stp>PUT</stp>
        <stp>Bid</stp>
        <tr r="K19" s="3"/>
      </tp>
      <tp>
        <v>0</v>
        <stp/>
        <stp>YahooFinanceOptions</stp>
        <stp>AAPL</stp>
        <stp>46038</stp>
        <stp>210</stp>
        <stp>PUT</stp>
        <stp>Bid</stp>
        <tr r="K18" s="3"/>
      </tp>
      <tp>
        <v>0</v>
        <stp/>
        <stp>YahooFinanceOptions</stp>
        <stp>AAPL</stp>
        <stp>46038</stp>
        <stp>205</stp>
        <stp>PUT</stp>
        <stp>Ask</stp>
        <tr r="L19" s="3"/>
      </tp>
      <tp>
        <v>0</v>
        <stp/>
        <stp>YahooFinanceOptions</stp>
        <stp>AAPL</stp>
        <stp>46038</stp>
        <stp>200</stp>
        <stp>PUT</stp>
        <stp>Ask</stp>
        <tr r="L20" s="3"/>
      </tp>
      <tp>
        <v>0</v>
        <stp/>
        <stp>YahooFinanceOptions</stp>
        <stp>AAPL</stp>
        <stp>46038</stp>
        <stp>210</stp>
        <stp>PUT</stp>
        <stp>Ask</stp>
        <tr r="L18" s="3"/>
      </tp>
      <tp>
        <v>0</v>
        <stp/>
        <stp>YahooFinanceOptions</stp>
        <stp>AAPL</stp>
        <stp>46038</stp>
        <stp>190</stp>
        <stp>PUT</stp>
        <stp>Bid</stp>
        <tr r="K22" s="3"/>
      </tp>
      <tp>
        <v>0</v>
        <stp/>
        <stp>YahooFinanceOptions</stp>
        <stp>AAPL</stp>
        <stp>46038</stp>
        <stp>195</stp>
        <stp>PUT</stp>
        <stp>Bid</stp>
        <tr r="K21" s="3"/>
      </tp>
      <tp>
        <v>1.0000000000000003E-5</v>
        <stp/>
        <stp>YahooFinanceOptions</stp>
        <stp>AAPL</stp>
        <stp>46038</stp>
        <stp>195</stp>
        <stp>CALL</stp>
        <stp>ImpVol</stp>
        <tr r="O12" s="3"/>
      </tp>
      <tp>
        <v>1.0000000000000003E-5</v>
        <stp/>
        <stp>YahooFinanceOptions</stp>
        <stp>AAPL</stp>
        <stp>46038</stp>
        <stp>190</stp>
        <stp>CALL</stp>
        <stp>ImpVol</stp>
        <tr r="O13" s="3"/>
      </tp>
      <tp>
        <v>0</v>
        <stp/>
        <stp>YahooFinanceOptions</stp>
        <stp>AAPL</stp>
        <stp>Jan16'26</stp>
        <stp>200</stp>
        <stp>CALL</stp>
        <stp>Mark</stp>
        <tr r="F5" s="6"/>
      </tp>
      <tp>
        <v>0</v>
        <stp/>
        <stp>YahooFinanceOptions</stp>
        <stp>AAPL</stp>
        <stp>Jan16'26</stp>
        <stp>150</stp>
        <stp>CALL</stp>
        <stp>Mark</stp>
        <tr r="F4" s="6"/>
      </tp>
      <tp>
        <v>0</v>
        <stp/>
        <stp>YahooFinanceOptions</stp>
        <stp>AAPL260116C00150000</stp>
        <stp>ChangeInPercent</stp>
        <tr r="K4" s="4"/>
      </tp>
      <tp>
        <v>0</v>
        <stp/>
        <stp>YahooFinanceOptions</stp>
        <stp>AAPL270115C00200000</stp>
        <stp>ChangeInPercent</stp>
        <tr r="K7" s="4"/>
      </tp>
      <tp>
        <v>0</v>
        <stp/>
        <stp>YahooFinanceOptions</stp>
        <stp>AAPL270115C00150000</stp>
        <stp>ChangeInPercent</stp>
        <tr r="K6" s="4"/>
      </tp>
      <tp>
        <v>0</v>
        <stp/>
        <stp>YahooFinanceOptions</stp>
        <stp>AAPL260116C00200000</stp>
        <stp>ChangeInPercent</stp>
        <tr r="K5" s="4"/>
      </tp>
      <tp>
        <v>45799</v>
        <stp/>
        <stp>YahooFinanceOptions</stp>
        <stp>AAPL260116C00200000</stp>
        <stp>rtd_LastUpdateDate</stp>
        <tr r="T5" s="4"/>
      </tp>
      <tp>
        <v>45799</v>
        <stp/>
        <stp>YahooFinanceOptions</stp>
        <stp>AAPL270115C00150000</stp>
        <stp>rtd_LastUpdateDate</stp>
        <tr r="T6" s="4"/>
      </tp>
      <tp>
        <v>45799</v>
        <stp/>
        <stp>YahooFinanceOptions</stp>
        <stp>AAPL270115C00200000</stp>
        <stp>rtd_LastUpdateDate</stp>
        <tr r="T7" s="4"/>
      </tp>
      <tp>
        <v>45799</v>
        <stp/>
        <stp>YahooFinanceOptions</stp>
        <stp>AAPL260116C00150000</stp>
        <stp>rtd_LastUpdateDate</stp>
        <tr r="T4" s="4"/>
      </tp>
      <tp t="e">
        <v>#N/A</v>
        <stp/>
        <stp>YahooFinanceOptions</stp>
        <stp>AAPL</stp>
        <stp>Jan17'25</stp>
        <stp>200</stp>
        <stp>CALL</stp>
        <stp>Mark</stp>
        <tr r="E5" s="6"/>
      </tp>
      <tp t="e">
        <v>#N/A</v>
        <stp/>
        <stp>YahooFinanceOptions</stp>
        <stp>AAPL</stp>
        <stp>Jan17'25</stp>
        <stp>150</stp>
        <stp>CALL</stp>
        <stp>Mark</stp>
        <tr r="E4" s="6"/>
      </tp>
      <tp>
        <v>0</v>
        <stp/>
        <stp>YahooFinanceOptions</stp>
        <stp>AAPL</stp>
        <stp>46038</stp>
        <stp>210</stp>
        <stp>PUT</stp>
        <stp>ChangePercent</stp>
        <tr r="I18" s="3"/>
      </tp>
      <tp>
        <v>0</v>
        <stp/>
        <stp>YahooFinanceOptions</stp>
        <stp>AAPL</stp>
        <stp>46038</stp>
        <stp>200</stp>
        <stp>PUT</stp>
        <stp>ChangePercent</stp>
        <tr r="I20" s="3"/>
      </tp>
      <tp>
        <v>0</v>
        <stp/>
        <stp>YahooFinanceOptions</stp>
        <stp>AAPL</stp>
        <stp>46038</stp>
        <stp>190</stp>
        <stp>PUT</stp>
        <stp>ChangePercent</stp>
        <tr r="I22" s="3"/>
      </tp>
      <tp t="s">
        <v/>
        <stp/>
        <stp>YahooFinanceOptions</stp>
        <stp>AAPL270115C00200000</stp>
        <stp>rtd_LastMessage</stp>
        <tr r="R7" s="4"/>
      </tp>
      <tp t="s">
        <v/>
        <stp/>
        <stp>YahooFinanceOptions</stp>
        <stp>AAPL260116C00150000</stp>
        <stp>rtd_LastMessage</stp>
        <tr r="R4" s="4"/>
      </tp>
      <tp t="s">
        <v/>
        <stp/>
        <stp>YahooFinanceOptions</stp>
        <stp>AAPL260116C00200000</stp>
        <stp>rtd_LastMessage</stp>
        <tr r="R5" s="4"/>
      </tp>
      <tp t="s">
        <v/>
        <stp/>
        <stp>YahooFinanceOptions</stp>
        <stp>AAPL270115C00150000</stp>
        <stp>rtd_LastMessage</stp>
        <tr r="R6" s="4"/>
      </tp>
      <tp>
        <v>0</v>
        <stp/>
        <stp>YahooFinanceOptions</stp>
        <stp>AAPL</stp>
        <stp>46038</stp>
        <stp>205</stp>
        <stp>PUT</stp>
        <stp>ChangePercent</stp>
        <tr r="I19" s="3"/>
      </tp>
      <tp>
        <v>0</v>
        <stp/>
        <stp>YahooFinanceOptions</stp>
        <stp>AAPL</stp>
        <stp>46038</stp>
        <stp>195</stp>
        <stp>PUT</stp>
        <stp>ChangePercent</stp>
        <tr r="I21" s="3"/>
      </tp>
      <tp t="s">
        <v>AAPL</v>
        <stp/>
        <stp>YahooFinanceOptions</stp>
        <stp>AAPL</stp>
        <stp>46038</stp>
        <stp>200</stp>
        <stp>CALL</stp>
        <stp>Symbol</stp>
        <tr r="G5" s="5"/>
      </tp>
      <tp>
        <v>1.0416666666666666E-2</v>
        <stp/>
        <stp>YahooFinanceOptions</stp>
        <stp>rtd_RefreshInterval</stp>
        <stp>00:15</stp>
        <tr r="B2" s="3"/>
      </tp>
      <tp>
        <v>0.66667824074074078</v>
        <stp/>
        <stp>YahooFinanceQuotes</stp>
        <stp>AAPL</stp>
        <stp>LastTradeTime</stp>
        <tr r="I4" s="3"/>
        <tr r="I4" s="7"/>
      </tp>
      <tp t="s">
        <v>AAPL</v>
        <stp/>
        <stp>YahooFinanceOptions</stp>
        <stp>AAPL</stp>
        <stp>46038</stp>
        <stp>150</stp>
        <stp>CALL</stp>
        <stp>Symbol</stp>
        <tr r="G4" s="5"/>
      </tp>
      <tp t="s">
        <v>AAPL</v>
        <stp/>
        <stp>YahooFinanceOptions</stp>
        <stp>AAPL</stp>
        <stp>46402</stp>
        <stp>200</stp>
        <stp>CALL</stp>
        <stp>Symbol</stp>
        <tr r="G7" s="5"/>
      </tp>
      <tp t="s">
        <v>AAPL</v>
        <stp/>
        <stp>YahooFinanceOptions</stp>
        <stp>AAPL</stp>
        <stp>46402</stp>
        <stp>150</stp>
        <stp>CALL</stp>
        <stp>Symbol</stp>
        <tr r="G6" s="5"/>
      </tp>
      <tp>
        <v>0</v>
        <stp/>
        <stp>YahooFinanceOptions</stp>
        <stp>AAPL</stp>
        <stp>46402</stp>
        <stp>200</stp>
        <stp>CALL</stp>
        <stp>Change</stp>
        <tr r="I7" s="5"/>
      </tp>
      <tp>
        <v>0</v>
        <stp/>
        <stp>YahooFinanceOptions</stp>
        <stp>AAPL</stp>
        <stp>46038</stp>
        <stp>190</stp>
        <stp>PUT</stp>
        <stp>rtd_LastError</stp>
        <tr r="S22" s="3"/>
      </tp>
      <tp>
        <v>0</v>
        <stp/>
        <stp>YahooFinanceOptions</stp>
        <stp>AAPL</stp>
        <stp>46038</stp>
        <stp>200</stp>
        <stp>PUT</stp>
        <stp>rtd_LastError</stp>
        <tr r="S20" s="3"/>
      </tp>
      <tp>
        <v>0</v>
        <stp/>
        <stp>YahooFinanceOptions</stp>
        <stp>AAPL</stp>
        <stp>46038</stp>
        <stp>210</stp>
        <stp>PUT</stp>
        <stp>rtd_LastError</stp>
        <tr r="S18" s="3"/>
      </tp>
      <tp>
        <v>0</v>
        <stp/>
        <stp>YahooFinanceOptions</stp>
        <stp>AAPL</stp>
        <stp>46402</stp>
        <stp>150</stp>
        <stp>CALL</stp>
        <stp>Change</stp>
        <tr r="I6" s="5"/>
      </tp>
      <tp>
        <v>0</v>
        <stp/>
        <stp>YahooFinanceOptions</stp>
        <stp>AAPL</stp>
        <stp>46038</stp>
        <stp>210</stp>
        <stp>CALL</stp>
        <stp>Change</stp>
        <tr r="H9" s="3"/>
      </tp>
      <tp>
        <v>0</v>
        <stp/>
        <stp>YahooFinanceOptions</stp>
        <stp>AAPL</stp>
        <stp>46038</stp>
        <stp>200</stp>
        <stp>CALL</stp>
        <stp>Change</stp>
        <tr r="H11" s="3"/>
        <tr r="I5" s="5"/>
      </tp>
      <tp>
        <v>0</v>
        <stp/>
        <stp>YahooFinanceOptions</stp>
        <stp>AAPL</stp>
        <stp>46038</stp>
        <stp>205</stp>
        <stp>CALL</stp>
        <stp>Change</stp>
        <tr r="H10" s="3"/>
      </tp>
      <tp t="s">
        <v>AAPL270115C00200000</v>
        <stp/>
        <stp>YahooFinanceOptions</stp>
        <stp>AAPL270115C00200000</stp>
        <stp>OptionCode</stp>
        <tr r="C7" s="4"/>
      </tp>
      <tp t="s">
        <v>AAPL260116C00150000</v>
        <stp/>
        <stp>YahooFinanceOptions</stp>
        <stp>AAPL260116C00150000</stp>
        <stp>OptionCode</stp>
        <tr r="C4" s="4"/>
      </tp>
      <tp t="s">
        <v>AAPL260116C00200000</v>
        <stp/>
        <stp>YahooFinanceOptions</stp>
        <stp>AAPL260116C00200000</stp>
        <stp>OptionCode</stp>
        <tr r="C5" s="4"/>
      </tp>
      <tp t="s">
        <v>AAPL270115C00150000</v>
        <stp/>
        <stp>YahooFinanceOptions</stp>
        <stp>AAPL270115C00150000</stp>
        <stp>OptionCode</stp>
        <tr r="C6" s="4"/>
      </tp>
      <tp>
        <v>0</v>
        <stp/>
        <stp>YahooFinanceOptions</stp>
        <stp>AAPL</stp>
        <stp>46038</stp>
        <stp>195</stp>
        <stp>PUT</stp>
        <stp>rtd_LastError</stp>
        <tr r="S21" s="3"/>
      </tp>
      <tp>
        <v>0</v>
        <stp/>
        <stp>YahooFinanceOptions</stp>
        <stp>AAPL</stp>
        <stp>46038</stp>
        <stp>205</stp>
        <stp>PUT</stp>
        <stp>rtd_LastError</stp>
        <tr r="S19" s="3"/>
      </tp>
      <tp>
        <v>0</v>
        <stp/>
        <stp>YahooFinanceOptions</stp>
        <stp>AAPL</stp>
        <stp>46038</stp>
        <stp>190</stp>
        <stp>CALL</stp>
        <stp>Change</stp>
        <tr r="H13" s="3"/>
      </tp>
      <tp>
        <v>0</v>
        <stp/>
        <stp>YahooFinanceOptions</stp>
        <stp>AAPL</stp>
        <stp>46038</stp>
        <stp>195</stp>
        <stp>CALL</stp>
        <stp>Change</stp>
        <tr r="H12" s="3"/>
      </tp>
      <tp>
        <v>0</v>
        <stp/>
        <stp>YahooFinanceOptions</stp>
        <stp>AAPL</stp>
        <stp>46038</stp>
        <stp>150</stp>
        <stp>CALL</stp>
        <stp>Change</stp>
        <tr r="I6" s="8"/>
        <tr r="I4" s="5"/>
      </tp>
      <tp>
        <v>6</v>
        <stp/>
        <stp>YahooFinanceOptions</stp>
        <stp>AAPL</stp>
        <stp>46402</stp>
        <stp>150</stp>
        <stp>CALL</stp>
        <stp>Volume</stp>
        <tr r="N6" s="5"/>
      </tp>
    </main>
    <main first="market.rtd">
      <tp>
        <v>0</v>
        <stp/>
        <stp>YahooFinanceOptions</stp>
        <stp>AAPL</stp>
        <stp>46402</stp>
        <stp>200</stp>
        <stp>CALL</stp>
        <stp>rtd_LastError</stp>
        <tr r="P7" s="5"/>
      </tp>
      <tp>
        <v>0</v>
        <stp/>
        <stp>YahooFinanceOptions</stp>
        <stp>AAPL</stp>
        <stp>46402</stp>
        <stp>150</stp>
        <stp>CALL</stp>
        <stp>rtd_LastError</stp>
        <tr r="P6" s="5"/>
      </tp>
      <tp>
        <v>0</v>
        <stp/>
        <stp>YahooFinanceOptions</stp>
        <stp>AAPL</stp>
        <stp>46038</stp>
        <stp>200</stp>
        <stp>CALL</stp>
        <stp>rtd_LastError</stp>
        <tr r="S11" s="3"/>
        <tr r="P5" s="5"/>
      </tp>
      <tp>
        <v>0</v>
        <stp/>
        <stp>YahooFinanceOptions</stp>
        <stp>AAPL</stp>
        <stp>46038</stp>
        <stp>205</stp>
        <stp>CALL</stp>
        <stp>rtd_LastError</stp>
        <tr r="S10" s="3"/>
      </tp>
      <tp>
        <v>0</v>
        <stp/>
        <stp>YahooFinanceOptions</stp>
        <stp>AAPL</stp>
        <stp>46038</stp>
        <stp>210</stp>
        <stp>CALL</stp>
        <stp>rtd_LastError</stp>
        <tr r="S9" s="3"/>
      </tp>
      <tp>
        <v>0</v>
        <stp/>
        <stp>YahooFinanceOptions</stp>
        <stp>AAPL</stp>
        <stp>46038</stp>
        <stp>150</stp>
        <stp>CALL</stp>
        <stp>rtd_LastError</stp>
        <tr r="P4" s="5"/>
        <tr r="Q6" s="8"/>
      </tp>
      <tp>
        <v>0</v>
        <stp/>
        <stp>YahooFinanceOptions</stp>
        <stp>AAPL</stp>
        <stp>46038</stp>
        <stp>190</stp>
        <stp>CALL</stp>
        <stp>rtd_LastError</stp>
        <tr r="S13" s="3"/>
      </tp>
      <tp>
        <v>0</v>
        <stp/>
        <stp>YahooFinanceOptions</stp>
        <stp>AAPL</stp>
        <stp>46038</stp>
        <stp>195</stp>
        <stp>CALL</stp>
        <stp>rtd_LastError</stp>
        <tr r="S12" s="3"/>
      </tp>
      <tp>
        <v>0</v>
        <stp/>
        <stp>YahooFinanceOptions</stp>
        <stp>AAPL</stp>
        <stp>46038</stp>
        <stp>195</stp>
        <stp>PUT</stp>
        <stp>Mark</stp>
        <tr r="J21" s="3"/>
      </tp>
      <tp>
        <v>14.8</v>
        <stp/>
        <stp>YahooFinanceOptions</stp>
        <stp>AAPL</stp>
        <stp>46038</stp>
        <stp>195</stp>
        <stp>PUT</stp>
        <stp>Last</stp>
        <tr r="G21" s="3"/>
      </tp>
      <tp>
        <v>12.76</v>
        <stp/>
        <stp>YahooFinanceOptions</stp>
        <stp>AAPL</stp>
        <stp>46038</stp>
        <stp>190</stp>
        <stp>PUT</stp>
        <stp>Last</stp>
        <tr r="G22" s="3"/>
      </tp>
      <tp>
        <v>0</v>
        <stp/>
        <stp>YahooFinanceOptions</stp>
        <stp>AAPL</stp>
        <stp>46038</stp>
        <stp>190</stp>
        <stp>PUT</stp>
        <stp>Mark</stp>
        <tr r="J22" s="3"/>
      </tp>
      <tp>
        <v>52</v>
        <stp/>
        <stp>YahooFinanceOptions</stp>
        <stp>AAPL</stp>
        <stp>46402</stp>
        <stp>200</stp>
        <stp>CALL</stp>
        <stp>Volume</stp>
        <tr r="N7" s="5"/>
      </tp>
      <tp>
        <v>0</v>
        <stp/>
        <stp>YahooFinanceOptions</stp>
        <stp>AAPL</stp>
        <stp>46038</stp>
        <stp>195</stp>
        <stp>CALL</stp>
        <stp>Mark</stp>
        <tr r="J12" s="3"/>
      </tp>
      <tp>
        <v>0</v>
        <stp/>
        <stp>YahooFinanceOptions</stp>
        <stp>AAPL</stp>
        <stp>46038</stp>
        <stp>205</stp>
        <stp>CALL</stp>
        <stp>Mark</stp>
        <tr r="J10" s="3"/>
      </tp>
      <tp>
        <v>21.15</v>
        <stp/>
        <stp>YahooFinanceOptions</stp>
        <stp>AAPL</stp>
        <stp>46038</stp>
        <stp>205</stp>
        <stp>CALL</stp>
        <stp>Last</stp>
        <tr r="G10" s="3"/>
      </tp>
      <tp>
        <v>26.55</v>
        <stp/>
        <stp>YahooFinanceOptions</stp>
        <stp>AAPL</stp>
        <stp>46038</stp>
        <stp>195</stp>
        <stp>CALL</stp>
        <stp>Last</stp>
        <tr r="G12" s="3"/>
      </tp>
      <tp>
        <v>370</v>
        <stp/>
        <stp>YahooFinanceOptions</stp>
        <stp>AAPL</stp>
        <stp>46038</stp>
        <stp>150</stp>
        <stp>CALL</stp>
        <stp>Volume</stp>
        <tr r="N6" s="8"/>
        <tr r="N4" s="5"/>
      </tp>
      <tp>
        <v>46</v>
        <stp/>
        <stp>YahooFinanceOptions</stp>
        <stp>AAPL</stp>
        <stp>46038</stp>
        <stp>195</stp>
        <stp>CALL</stp>
        <stp>Volume</stp>
        <tr r="M12" s="3"/>
      </tp>
      <tp>
        <v>25</v>
        <stp/>
        <stp>YahooFinanceOptions</stp>
        <stp>AAPL</stp>
        <stp>46038</stp>
        <stp>190</stp>
        <stp>CALL</stp>
        <stp>Volume</stp>
        <tr r="M13" s="3"/>
      </tp>
      <tp>
        <v>0</v>
        <stp/>
        <stp>YahooFinanceOptions</stp>
        <stp>AAPL</stp>
        <stp>46038</stp>
        <stp>150</stp>
        <stp>CALL</stp>
        <stp>Mark</stp>
        <tr r="K6" s="8"/>
        <tr r="K4" s="5"/>
      </tp>
      <tp>
        <v>0</v>
        <stp/>
        <stp>YahooFinanceOptions</stp>
        <stp>AAPL</stp>
        <stp>46038</stp>
        <stp>190</stp>
        <stp>CALL</stp>
        <stp>Mark</stp>
        <tr r="J13" s="3"/>
      </tp>
      <tp>
        <v>0</v>
        <stp/>
        <stp>YahooFinanceOptions</stp>
        <stp>AAPL</stp>
        <stp>46038</stp>
        <stp>200</stp>
        <stp>CALL</stp>
        <stp>Mark</stp>
        <tr r="J11" s="3"/>
        <tr r="K5" s="5"/>
      </tp>
      <tp>
        <v>0</v>
        <stp/>
        <stp>YahooFinanceOptions</stp>
        <stp>AAPL</stp>
        <stp>46038</stp>
        <stp>210</stp>
        <stp>CALL</stp>
        <stp>Mark</stp>
        <tr r="J9" s="3"/>
      </tp>
      <tp>
        <v>18.25</v>
        <stp/>
        <stp>YahooFinanceOptions</stp>
        <stp>AAPL</stp>
        <stp>46038</stp>
        <stp>210</stp>
        <stp>CALL</stp>
        <stp>Last</stp>
        <tr r="G9" s="3"/>
      </tp>
      <tp>
        <v>23.8</v>
        <stp/>
        <stp>YahooFinanceOptions</stp>
        <stp>AAPL</stp>
        <stp>46038</stp>
        <stp>200</stp>
        <stp>CALL</stp>
        <stp>Last</stp>
        <tr r="G11" s="3"/>
        <tr r="H5" s="5"/>
      </tp>
      <tp>
        <v>60.3</v>
        <stp/>
        <stp>YahooFinanceOptions</stp>
        <stp>AAPL</stp>
        <stp>46038</stp>
        <stp>150</stp>
        <stp>CALL</stp>
        <stp>Last</stp>
        <tr r="H6" s="8"/>
        <tr r="H4" s="5"/>
      </tp>
      <tp>
        <v>29.3</v>
        <stp/>
        <stp>YahooFinanceOptions</stp>
        <stp>AAPL</stp>
        <stp>46038</stp>
        <stp>190</stp>
        <stp>CALL</stp>
        <stp>Last</stp>
        <tr r="G13" s="3"/>
      </tp>
      <tp>
        <v>660</v>
        <stp/>
        <stp>YahooFinanceOptions</stp>
        <stp>AAPL</stp>
        <stp>46038</stp>
        <stp>205</stp>
        <stp>CALL</stp>
        <stp>Volume</stp>
        <tr r="M10" s="3"/>
      </tp>
      <tp>
        <v>248</v>
        <stp/>
        <stp>YahooFinanceOptions</stp>
        <stp>AAPL</stp>
        <stp>46038</stp>
        <stp>200</stp>
        <stp>CALL</stp>
        <stp>Volume</stp>
        <tr r="M11" s="3"/>
        <tr r="N5" s="5"/>
      </tp>
      <tp>
        <v>632</v>
        <stp/>
        <stp>YahooFinanceOptions</stp>
        <stp>AAPL</stp>
        <stp>46038</stp>
        <stp>210</stp>
        <stp>CALL</stp>
        <stp>Volume</stp>
        <tr r="M9" s="3"/>
      </tp>
      <tp>
        <v>0</v>
        <stp/>
        <stp>YahooFinanceOptions</stp>
        <stp>AAPL</stp>
        <stp>46038</stp>
        <stp>205</stp>
        <stp>PUT</stp>
        <stp>Mark</stp>
        <tr r="J19" s="3"/>
      </tp>
      <tp>
        <v>19.100000000000001</v>
        <stp/>
        <stp>YahooFinanceOptions</stp>
        <stp>AAPL</stp>
        <stp>46038</stp>
        <stp>205</stp>
        <stp>PUT</stp>
        <stp>Last</stp>
        <tr r="G19" s="3"/>
      </tp>
      <tp>
        <v>16.399999999999999</v>
        <stp/>
        <stp>YahooFinanceOptions</stp>
        <stp>AAPL</stp>
        <stp>46038</stp>
        <stp>200</stp>
        <stp>PUT</stp>
        <stp>Last</stp>
        <tr r="G20" s="3"/>
      </tp>
      <tp>
        <v>0</v>
        <stp/>
        <stp>YahooFinanceOptions</stp>
        <stp>AAPL</stp>
        <stp>46038</stp>
        <stp>200</stp>
        <stp>PUT</stp>
        <stp>Mark</stp>
        <tr r="J20" s="3"/>
      </tp>
      <tp>
        <v>21.4</v>
        <stp/>
        <stp>YahooFinanceOptions</stp>
        <stp>AAPL</stp>
        <stp>46038</stp>
        <stp>210</stp>
        <stp>PUT</stp>
        <stp>Last</stp>
        <tr r="G18" s="3"/>
      </tp>
      <tp>
        <v>0</v>
        <stp/>
        <stp>YahooFinanceOptions</stp>
        <stp>AAPL</stp>
        <stp>46038</stp>
        <stp>210</stp>
        <stp>PUT</stp>
        <stp>Mark</stp>
        <tr r="J18" s="3"/>
      </tp>
      <tp>
        <v>0</v>
        <stp/>
        <stp>YahooFinanceOptions</stp>
        <stp>AAPL260116C00150000</stp>
        <stp>rtd_LastError</stp>
        <tr r="Q4" s="4"/>
      </tp>
      <tp>
        <v>0</v>
        <stp/>
        <stp>YahooFinanceOptions</stp>
        <stp>AAPL270115C00150000</stp>
        <stp>rtd_LastError</stp>
        <tr r="Q6" s="4"/>
      </tp>
      <tp>
        <v>0</v>
        <stp/>
        <stp>YahooFinanceQuotes</stp>
        <stp>AAPL</stp>
        <stp>rtd_LastError</stp>
        <tr r="S4" s="3"/>
        <tr r="M4" s="7"/>
      </tp>
      <tp>
        <v>0</v>
        <stp/>
        <stp>YahooFinanceOptions</stp>
        <stp>AAPL</stp>
        <stp>46402</stp>
        <stp>150</stp>
        <stp>CALL</stp>
        <stp>Mark</stp>
        <tr r="K6" s="5"/>
      </tp>
      <tp>
        <v>0</v>
        <stp/>
        <stp>YahooFinanceOptions</stp>
        <stp>AAPL</stp>
        <stp>46402</stp>
        <stp>200</stp>
        <stp>CALL</stp>
        <stp>Mark</stp>
        <tr r="K7" s="5"/>
      </tp>
      <tp>
        <v>37.4</v>
        <stp/>
        <stp>YahooFinanceOptions</stp>
        <stp>AAPL</stp>
        <stp>46402</stp>
        <stp>200</stp>
        <stp>CALL</stp>
        <stp>Last</stp>
        <tr r="H7" s="5"/>
      </tp>
      <tp>
        <v>70.400000000000006</v>
        <stp/>
        <stp>YahooFinanceOptions</stp>
        <stp>AAPL</stp>
        <stp>46402</stp>
        <stp>150</stp>
        <stp>CALL</stp>
        <stp>Last</stp>
        <tr r="H6" s="5"/>
      </tp>
      <tp>
        <v>0</v>
        <stp/>
        <stp>YahooFinanceOptions</stp>
        <stp>AAPL270115C00200000</stp>
        <stp>rtd_LastError</stp>
        <tr r="Q7" s="4"/>
      </tp>
      <tp>
        <v>0</v>
        <stp/>
        <stp>YahooFinanceOptions</stp>
        <stp>AAPL260116C00200000</stp>
        <stp>rtd_LastError</stp>
        <tr r="Q5" s="4"/>
      </tp>
    </main>
  </volType>
</volTypes>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volatileDependencies" Target="volatileDependencie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5" displayName="Table5" ref="B3:U7" totalsRowShown="0">
  <tableColumns count="20">
    <tableColumn id="1" xr3:uid="{00000000-0010-0000-0000-000001000000}" name="Code" dataDxfId="48"/>
    <tableColumn id="2" xr3:uid="{00000000-0010-0000-0000-000002000000}" name="OptionCode" dataDxfId="47">
      <calculatedColumnFormula>RTD("market.rtd",,"YahooFinanceOptions",Table5[[#This Row],[Code]],"OptionCode")</calculatedColumnFormula>
    </tableColumn>
    <tableColumn id="3" xr3:uid="{00000000-0010-0000-0000-000003000000}" name="Symbol" dataDxfId="46">
      <calculatedColumnFormula>RTD("market.rtd",,"YahooFinanceOptions",Table5[[#This Row],[Code]],"Symbol")</calculatedColumnFormula>
    </tableColumn>
    <tableColumn id="4" xr3:uid="{00000000-0010-0000-0000-000004000000}" name="OptionSymbol" dataDxfId="45">
      <calculatedColumnFormula>RTD("market.rtd",,"YahooFinanceOptions",Table5[[#This Row],[Code]],"OptionSymbol")</calculatedColumnFormula>
    </tableColumn>
    <tableColumn id="5" xr3:uid="{00000000-0010-0000-0000-000005000000}" name="ExpDate" dataDxfId="44">
      <calculatedColumnFormula>RTD("market.rtd",,"YahooFinanceOptions",Table5[[#This Row],[Code]],"Exp")</calculatedColumnFormula>
    </tableColumn>
    <tableColumn id="6" xr3:uid="{00000000-0010-0000-0000-000006000000}" name="Strike" dataDxfId="43">
      <calculatedColumnFormula>RTD("market.rtd",,"YahooFinanceOptions",Table5[[#This Row],[Code]],"Strike")</calculatedColumnFormula>
    </tableColumn>
    <tableColumn id="7" xr3:uid="{00000000-0010-0000-0000-000007000000}" name="Type" dataDxfId="42">
      <calculatedColumnFormula>RTD("market.rtd",,"YahooFinanceOptions",Table5[[#This Row],[Code]],"Type")</calculatedColumnFormula>
    </tableColumn>
    <tableColumn id="8" xr3:uid="{00000000-0010-0000-0000-000008000000}" name="Last" dataDxfId="41">
      <calculatedColumnFormula>RTD("market.rtd",,"YahooFinanceOptions",Table5[[#This Row],[Code]],"Last")</calculatedColumnFormula>
    </tableColumn>
    <tableColumn id="9" xr3:uid="{00000000-0010-0000-0000-000009000000}" name="Change" dataDxfId="40">
      <calculatedColumnFormula>RTD("market.rtd",,"YahooFinanceOptions",Table5[[#This Row],[Code]],"Change")</calculatedColumnFormula>
    </tableColumn>
    <tableColumn id="10" xr3:uid="{00000000-0010-0000-0000-00000A000000}" name="PercentChange" dataDxfId="39">
      <calculatedColumnFormula>RTD("market.rtd",,"YahooFinanceOptions",Table5[[#This Row],[Code]],"ChangeInPercent")</calculatedColumnFormula>
    </tableColumn>
    <tableColumn id="11" xr3:uid="{00000000-0010-0000-0000-00000B000000}" name="Mark" dataDxfId="38">
      <calculatedColumnFormula>RTD("market.rtd",,"YahooFinanceOptions",Table5[[#This Row],[Code]],"Mark")</calculatedColumnFormula>
    </tableColumn>
    <tableColumn id="12" xr3:uid="{00000000-0010-0000-0000-00000C000000}" name="Bid" dataDxfId="37">
      <calculatedColumnFormula>RTD("market.rtd",,"YahooFinanceOptions",Table5[[#This Row],[Code]],"Bid")</calculatedColumnFormula>
    </tableColumn>
    <tableColumn id="13" xr3:uid="{00000000-0010-0000-0000-00000D000000}" name="Ask" dataDxfId="36">
      <calculatedColumnFormula>RTD("market.rtd",,"YahooFinanceOptions",Table5[[#This Row],[Code]],"Ask")</calculatedColumnFormula>
    </tableColumn>
    <tableColumn id="14" xr3:uid="{00000000-0010-0000-0000-00000E000000}" name="Volume" dataDxfId="35">
      <calculatedColumnFormula>RTD("market.rtd",,"YahooFinanceOptions",Table5[[#This Row],[Code]],"Volume")</calculatedColumnFormula>
    </tableColumn>
    <tableColumn id="15" xr3:uid="{00000000-0010-0000-0000-00000F000000}" name="OpenInt" dataDxfId="34">
      <calculatedColumnFormula>RTD("market.rtd",,"YahooFinanceOptions",Table5[[#This Row],[Code]],"OpenInt")</calculatedColumnFormula>
    </tableColumn>
    <tableColumn id="16" xr3:uid="{00000000-0010-0000-0000-000010000000}" name="rtd_LastError" dataDxfId="33">
      <calculatedColumnFormula>RTD("market.rtd",,"YahooFinanceOptions",Table5[[#This Row],[Code]],"rtd_LastError")</calculatedColumnFormula>
    </tableColumn>
    <tableColumn id="17" xr3:uid="{00000000-0010-0000-0000-000011000000}" name="rtd_LastMessage" dataDxfId="32">
      <calculatedColumnFormula>RTD("market.rtd",,"YahooFinanceOptions",Table5[[#This Row],[Code]],"rtd_LastMessage")</calculatedColumnFormula>
    </tableColumn>
    <tableColumn id="18" xr3:uid="{00000000-0010-0000-0000-000012000000}" name="rtd_LastUpdate" dataDxfId="31">
      <calculatedColumnFormula>RTD("market.rtd",,"YahooFinanceOptions",Table5[[#This Row],[Code]],"rtd_LastUpdate")</calculatedColumnFormula>
    </tableColumn>
    <tableColumn id="19" xr3:uid="{00000000-0010-0000-0000-000013000000}" name="rtd_LastUpdateDate" dataDxfId="30">
      <calculatedColumnFormula>RTD("market.rtd",,"YahooFinanceOptions",Table5[[#This Row],[Code]],"rtd_LastUpdateDate")</calculatedColumnFormula>
    </tableColumn>
    <tableColumn id="20" xr3:uid="{00000000-0010-0000-0000-000014000000}" name="rtd_LastUpdateTime" dataDxfId="29">
      <calculatedColumnFormula>RTD("market.rtd",,"YahooFinanceOptions",Table5[[#This Row],[Code]],"rtd_LastUpdateTime")</calculatedColumnFormula>
    </tableColumn>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6" displayName="Table6" ref="B3:T7" totalsRowShown="0">
  <tableColumns count="19">
    <tableColumn id="1" xr3:uid="{00000000-0010-0000-0100-000001000000}" name="OptionSymbol" dataDxfId="28"/>
    <tableColumn id="2" xr3:uid="{00000000-0010-0000-0100-000002000000}" name="ExpDate" dataDxfId="27"/>
    <tableColumn id="3" xr3:uid="{00000000-0010-0000-0100-000003000000}" name="Strike" dataDxfId="26"/>
    <tableColumn id="4" xr3:uid="{00000000-0010-0000-0100-000004000000}" name="Type" dataDxfId="25"/>
    <tableColumn id="5" xr3:uid="{00000000-0010-0000-0100-000005000000}" name="OptionCode" dataDxfId="24">
      <calculatedColumnFormula>RTD("market.rtd",,"YahooFinanceOptions",Table6[[#This Row],[OptionSymbol]],Table6[[#This Row],[ExpDate]],Table6[[#This Row],[Strike]],Table6[[#This Row],[Type]],"OptionCode")</calculatedColumnFormula>
    </tableColumn>
    <tableColumn id="6" xr3:uid="{00000000-0010-0000-0100-000006000000}" name="Symbol" dataDxfId="23">
      <calculatedColumnFormula>RTD("market.rtd",,"YahooFinanceOptions",Table6[[#This Row],[OptionSymbol]],Table6[[#This Row],[ExpDate]],Table6[[#This Row],[Strike]],Table6[[#This Row],[Type]],"Symbol")</calculatedColumnFormula>
    </tableColumn>
    <tableColumn id="7" xr3:uid="{00000000-0010-0000-0100-000007000000}" name="Last" dataDxfId="22">
      <calculatedColumnFormula>RTD("market.rtd",,"YahooFinanceOptions",Table6[[#This Row],[OptionSymbol]],Table6[[#This Row],[ExpDate]],Table6[[#This Row],[Strike]],Table6[[#This Row],[Type]],"Last")</calculatedColumnFormula>
    </tableColumn>
    <tableColumn id="8" xr3:uid="{00000000-0010-0000-0100-000008000000}" name="Change" dataDxfId="21">
      <calculatedColumnFormula>RTD("market.rtd",,"YahooFinanceOptions",Table6[[#This Row],[OptionSymbol]],Table6[[#This Row],[ExpDate]],Table6[[#This Row],[Strike]],Table6[[#This Row],[Type]],"Change")</calculatedColumnFormula>
    </tableColumn>
    <tableColumn id="9" xr3:uid="{00000000-0010-0000-0100-000009000000}" name="PercentChange" dataDxfId="20">
      <calculatedColumnFormula>RTD("market.rtd",,"YahooFinanceOptions",Table6[[#This Row],[OptionSymbol]],Table6[[#This Row],[ExpDate]],Table6[[#This Row],[Strike]],Table6[[#This Row],[Type]],"ChangeInPercent")</calculatedColumnFormula>
    </tableColumn>
    <tableColumn id="10" xr3:uid="{00000000-0010-0000-0100-00000A000000}" name="Mark" dataDxfId="19">
      <calculatedColumnFormula>RTD("market.rtd",,"YahooFinanceOptions",Table6[[#This Row],[OptionSymbol]],Table6[[#This Row],[ExpDate]],Table6[[#This Row],[Strike]],Table6[[#This Row],[Type]],"Mark")</calculatedColumnFormula>
    </tableColumn>
    <tableColumn id="11" xr3:uid="{00000000-0010-0000-0100-00000B000000}" name="Bid" dataDxfId="18">
      <calculatedColumnFormula>RTD("market.rtd",,"YahooFinanceOptions",Table6[[#This Row],[OptionSymbol]],Table6[[#This Row],[ExpDate]],Table6[[#This Row],[Strike]],Table6[[#This Row],[Type]],"Bid")</calculatedColumnFormula>
    </tableColumn>
    <tableColumn id="12" xr3:uid="{00000000-0010-0000-0100-00000C000000}" name="Ask" dataDxfId="17">
      <calculatedColumnFormula>RTD("market.rtd",,"YahooFinanceOptions",Table6[[#This Row],[OptionSymbol]],Table6[[#This Row],[ExpDate]],Table6[[#This Row],[Strike]],Table6[[#This Row],[Type]],"Ask")</calculatedColumnFormula>
    </tableColumn>
    <tableColumn id="13" xr3:uid="{00000000-0010-0000-0100-00000D000000}" name="Volume" dataDxfId="16">
      <calculatedColumnFormula>RTD("market.rtd",,"YahooFinanceOptions",Table6[[#This Row],[OptionSymbol]],Table6[[#This Row],[ExpDate]],Table6[[#This Row],[Strike]],Table6[[#This Row],[Type]],"Volume")</calculatedColumnFormula>
    </tableColumn>
    <tableColumn id="14" xr3:uid="{00000000-0010-0000-0100-00000E000000}" name="OpenInt" dataDxfId="15">
      <calculatedColumnFormula>RTD("market.rtd",,"YahooFinanceOptions",Table6[[#This Row],[OptionSymbol]],Table6[[#This Row],[ExpDate]],Table6[[#This Row],[Strike]],Table6[[#This Row],[Type]],"OpenInt")</calculatedColumnFormula>
    </tableColumn>
    <tableColumn id="15" xr3:uid="{00000000-0010-0000-0100-00000F000000}" name="rtd_LastError" dataDxfId="14">
      <calculatedColumnFormula>RTD("market.rtd",,"YahooFinanceOptions",Table6[[#This Row],[OptionSymbol]],Table6[[#This Row],[ExpDate]],Table6[[#This Row],[Strike]],Table6[[#This Row],[Type]],"rtd_LastError")</calculatedColumnFormula>
    </tableColumn>
    <tableColumn id="16" xr3:uid="{00000000-0010-0000-0100-000010000000}" name="rtd_LastMessage" dataDxfId="13">
      <calculatedColumnFormula>RTD("market.rtd",,"YahooFinanceOptions",Table6[[#This Row],[OptionSymbol]],Table6[[#This Row],[ExpDate]],Table6[[#This Row],[Strike]],Table6[[#This Row],[Type]],"rtd_LastMessage")</calculatedColumnFormula>
    </tableColumn>
    <tableColumn id="17" xr3:uid="{00000000-0010-0000-0100-000011000000}" name="rtd_LastUpdate" dataDxfId="12">
      <calculatedColumnFormula>RTD("market.rtd",,"YahooFinanceOptions",Table6[[#This Row],[OptionSymbol]],Table6[[#This Row],[ExpDate]],Table6[[#This Row],[Strike]],Table6[[#This Row],[Type]],"rtd_LastUpdate")</calculatedColumnFormula>
    </tableColumn>
    <tableColumn id="18" xr3:uid="{00000000-0010-0000-0100-000012000000}" name="rtd_LastUpdateDate" dataDxfId="11">
      <calculatedColumnFormula>RTD("market.rtd",,"YahooFinanceOptions",Table6[[#This Row],[OptionSymbol]],Table6[[#This Row],[ExpDate]],Table6[[#This Row],[Strike]],Table6[[#This Row],[Type]],"rtd_LastUpdateDate")</calculatedColumnFormula>
    </tableColumn>
    <tableColumn id="19" xr3:uid="{00000000-0010-0000-0100-000013000000}" name="rtd_LastUpdateTime" dataDxfId="10">
      <calculatedColumnFormula>RTD("market.rtd",,"YahooFinanceOptions",Table6[[#This Row],[OptionSymbol]],Table6[[#This Row],[ExpDate]],Table6[[#This Row],[Strike]],Table6[[#This Row],[Type]],"rtd_LastUpdateTime")</calculatedColumnFormula>
    </tableColumn>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7" displayName="Table7" ref="B3:G7" totalsRowShown="0">
  <tableColumns count="6">
    <tableColumn id="1" xr3:uid="{00000000-0010-0000-0200-000001000000}" name="Symbol" dataDxfId="9"/>
    <tableColumn id="2" xr3:uid="{00000000-0010-0000-0200-000002000000}" name="Strike" dataDxfId="8"/>
    <tableColumn id="3" xr3:uid="{00000000-0010-0000-0200-000003000000}" name="Type" dataDxfId="7"/>
    <tableColumn id="4" xr3:uid="{00000000-0010-0000-0200-000004000000}" name="Jan17'25" dataDxfId="6">
      <calculatedColumnFormula>RTD("market.rtd",,"YahooFinanceOptions",$B4,E$3,$C4,$D4,"Mark")</calculatedColumnFormula>
    </tableColumn>
    <tableColumn id="5" xr3:uid="{00000000-0010-0000-0200-000005000000}" name="Jan16'26" dataDxfId="5">
      <calculatedColumnFormula>RTD("market.rtd",,"YahooFinanceOptions",$B4,F$3,$C4,$D4,"Mark")</calculatedColumnFormula>
    </tableColumn>
    <tableColumn id="6" xr3:uid="{00000000-0010-0000-0200-000006000000}" name="Calendar" dataDxfId="4">
      <calculatedColumnFormula>Table7[[#This Row],[Jan16''26]]-Table7[[#This Row],[Jan17''25]]</calculatedColumnFormula>
    </tableColumn>
  </tableColumns>
  <tableStyleInfo name="TableStyleMedium15" showFirstColumn="0" showLastColumn="0" showRowStripes="0"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B1:T22"/>
  <sheetViews>
    <sheetView showGridLines="0" workbookViewId="0"/>
  </sheetViews>
  <sheetFormatPr defaultRowHeight="15" x14ac:dyDescent="0.25"/>
  <cols>
    <col min="1" max="1" width="4.28515625" customWidth="1"/>
    <col min="2" max="2" width="13.140625" customWidth="1"/>
    <col min="3" max="3" width="10.140625" bestFit="1" customWidth="1"/>
    <col min="4" max="4" width="9.5703125" customWidth="1"/>
    <col min="5" max="5" width="2.28515625" customWidth="1"/>
    <col min="6" max="6" width="11.42578125" bestFit="1" customWidth="1"/>
    <col min="7" max="7" width="8.28515625" customWidth="1"/>
    <col min="9" max="9" width="14.5703125" bestFit="1" customWidth="1"/>
    <col min="16" max="16" width="3.140625" customWidth="1"/>
    <col min="17" max="17" width="24" customWidth="1"/>
    <col min="18" max="18" width="17.42578125" bestFit="1" customWidth="1"/>
    <col min="19" max="19" width="12.28515625" bestFit="1" customWidth="1"/>
    <col min="20" max="20" width="16" bestFit="1" customWidth="1"/>
  </cols>
  <sheetData>
    <row r="1" spans="2:20" x14ac:dyDescent="0.25">
      <c r="B1" t="s">
        <v>18</v>
      </c>
    </row>
    <row r="2" spans="2:20" x14ac:dyDescent="0.25">
      <c r="B2" s="18">
        <f>RTD("market.rtd",,"YahooFinanceOptions","rtd_RefreshInterval","00:15")</f>
        <v>1.0416666666666666E-2</v>
      </c>
    </row>
    <row r="3" spans="2:20" x14ac:dyDescent="0.25">
      <c r="C3" s="4" t="s">
        <v>1</v>
      </c>
      <c r="D3" s="4" t="s">
        <v>4</v>
      </c>
      <c r="E3" s="4"/>
      <c r="F3" s="4" t="s">
        <v>2</v>
      </c>
      <c r="G3" s="4" t="s">
        <v>3</v>
      </c>
      <c r="I3" s="4" t="s">
        <v>21</v>
      </c>
      <c r="K3" s="9" t="s">
        <v>33</v>
      </c>
      <c r="R3" s="9" t="s">
        <v>24</v>
      </c>
      <c r="S3" s="9" t="s">
        <v>17</v>
      </c>
      <c r="T3" s="4" t="s">
        <v>16</v>
      </c>
    </row>
    <row r="4" spans="2:20" x14ac:dyDescent="0.25">
      <c r="B4" s="6" t="s">
        <v>30</v>
      </c>
      <c r="C4" s="2">
        <f>RTD("market.rtd",,"YahooFinanceQuotes",$B$4,C$3)</f>
        <v>202.09</v>
      </c>
      <c r="D4" s="2">
        <f>RTD("market.rtd",,"YahooFinanceQuotes",$B$4,D$3)</f>
        <v>-4.7700043000000001</v>
      </c>
      <c r="E4" s="2"/>
      <c r="F4" s="2">
        <f>RTD("market.rtd",,"YahooFinanceQuotes",$B$4,F$3)</f>
        <v>200.72</v>
      </c>
      <c r="G4" s="2">
        <f>RTD("market.rtd",,"YahooFinanceQuotes",$B$4,G$3)</f>
        <v>207.04</v>
      </c>
      <c r="I4" s="11">
        <f>RTD("market.rtd",,"YahooFinanceQuotes",$B$4,I$3)</f>
        <v>0.66667824074074078</v>
      </c>
      <c r="K4" s="9" t="s">
        <v>34</v>
      </c>
      <c r="R4" s="16">
        <f>RTD("market.rtd",,"YahooFinanceQuotes",$B$4,R$3)</f>
        <v>45799.356454733796</v>
      </c>
      <c r="S4">
        <f>RTD("market.rtd",,"YahooFinanceQuotes",$B$4,S$3)</f>
        <v>0</v>
      </c>
      <c r="T4" t="str">
        <f>RTD("market.rtd",,"YahooFinanceQuotes",$B$4,T$3)</f>
        <v/>
      </c>
    </row>
    <row r="6" spans="2:20" x14ac:dyDescent="0.25">
      <c r="B6" s="6" t="s">
        <v>0</v>
      </c>
      <c r="C6" s="7">
        <v>46038</v>
      </c>
      <c r="D6" s="1"/>
      <c r="E6" s="1"/>
    </row>
    <row r="8" spans="2:20" x14ac:dyDescent="0.25">
      <c r="B8" s="9" t="s">
        <v>11</v>
      </c>
      <c r="C8" s="9" t="s">
        <v>12</v>
      </c>
      <c r="D8" s="4" t="s">
        <v>27</v>
      </c>
      <c r="E8" s="4"/>
      <c r="F8" s="4" t="s">
        <v>13</v>
      </c>
      <c r="G8" s="4" t="s">
        <v>1</v>
      </c>
      <c r="H8" s="4" t="s">
        <v>4</v>
      </c>
      <c r="I8" s="4" t="s">
        <v>19</v>
      </c>
      <c r="J8" s="4" t="s">
        <v>6</v>
      </c>
      <c r="K8" s="4" t="s">
        <v>7</v>
      </c>
      <c r="L8" s="4" t="s">
        <v>8</v>
      </c>
      <c r="M8" s="4" t="s">
        <v>9</v>
      </c>
      <c r="N8" s="4" t="s">
        <v>10</v>
      </c>
      <c r="O8" s="4" t="s">
        <v>20</v>
      </c>
      <c r="P8" s="4"/>
      <c r="Q8" s="9" t="s">
        <v>15</v>
      </c>
      <c r="R8" s="9" t="s">
        <v>24</v>
      </c>
      <c r="S8" s="9" t="s">
        <v>17</v>
      </c>
      <c r="T8" s="4" t="s">
        <v>16</v>
      </c>
    </row>
    <row r="9" spans="2:20" x14ac:dyDescent="0.25">
      <c r="B9" t="str">
        <f>$B$4</f>
        <v>AAPL</v>
      </c>
      <c r="C9" s="1">
        <f>$C$6</f>
        <v>46038</v>
      </c>
      <c r="D9">
        <f>RTD("market.rtd",,"YahooFinanceOptions",$B9,$C9,$D10,$F9,"Strike+1")</f>
        <v>210</v>
      </c>
      <c r="F9" t="str">
        <f>$B$6</f>
        <v>CALL</v>
      </c>
      <c r="G9" s="3">
        <f>RTD("market.rtd",,"YahooFinanceOptions",$B9,$C9,$D9,$F9,G$8)</f>
        <v>18.25</v>
      </c>
      <c r="H9" s="3">
        <f>RTD("market.rtd",,"YahooFinanceOptions",$B9,$C9,$D9,$F9,H$8)</f>
        <v>0</v>
      </c>
      <c r="I9" s="8">
        <f>RTD("market.rtd",,"YahooFinanceOptions",$B9,$C9,$D9,$F9,I$8)</f>
        <v>0</v>
      </c>
      <c r="J9" s="3">
        <f>RTD("market.rtd",,"YahooFinanceOptions",$B9,$C9,$D9,$F9,J$8)</f>
        <v>0</v>
      </c>
      <c r="K9" s="3">
        <f>RTD("market.rtd",,"YahooFinanceOptions",$B9,$C9,$D9,$F9,K$8)</f>
        <v>0</v>
      </c>
      <c r="L9" s="3">
        <f>RTD("market.rtd",,"YahooFinanceOptions",$B9,$C9,$D9,$F9,L$8)</f>
        <v>0</v>
      </c>
      <c r="M9" s="10">
        <f>RTD("market.rtd",,"YahooFinanceOptions",$B9,$C9,$D9,$F9,M$8)</f>
        <v>632</v>
      </c>
      <c r="N9" s="10">
        <f>RTD("market.rtd",,"YahooFinanceOptions",$B9,$C9,$D9,$F9,N$8)</f>
        <v>10496</v>
      </c>
      <c r="O9" s="8">
        <f>RTD("market.rtd",,"YahooFinanceOptions",$B9,$C9,$D9,$F9,O$8)</f>
        <v>1.5634843750000002E-2</v>
      </c>
      <c r="P9" s="10"/>
      <c r="Q9" t="str">
        <f>RTD("market.rtd",,"YahooFinanceOptions",$B9,$C9,$D9,$F9,Q$8)</f>
        <v>AAPL260116C00210000</v>
      </c>
      <c r="R9" s="16">
        <f>RTD("market.rtd",,"YahooFinanceOptions",$B9,$C9,$D9,$F9,R$8)</f>
        <v>45799.357394224535</v>
      </c>
      <c r="S9">
        <f>RTD("market.rtd",,"YahooFinanceOptions",$B9,$C9,$D9,$F9,S$8)</f>
        <v>0</v>
      </c>
      <c r="T9" t="str">
        <f>RTD("market.rtd",,"YahooFinanceOptions",$B9,$C9,$D9,$F9,T$8)</f>
        <v/>
      </c>
    </row>
    <row r="10" spans="2:20" x14ac:dyDescent="0.25">
      <c r="B10" t="str">
        <f>$B$4</f>
        <v>AAPL</v>
      </c>
      <c r="C10" s="1">
        <f>$C$6</f>
        <v>46038</v>
      </c>
      <c r="D10">
        <f>RTD("market.rtd",,"YahooFinanceOptions",$B10,$C10,$D11,$F10,"Strike+1")</f>
        <v>205</v>
      </c>
      <c r="F10" t="str">
        <f>$B$6</f>
        <v>CALL</v>
      </c>
      <c r="G10" s="3">
        <f>RTD("market.rtd",,"YahooFinanceOptions",$B10,$C10,$D10,$F10,G$8)</f>
        <v>21.15</v>
      </c>
      <c r="H10" s="3">
        <f>RTD("market.rtd",,"YahooFinanceOptions",$B10,$C10,$D10,$F10,H$8)</f>
        <v>0</v>
      </c>
      <c r="I10" s="8">
        <f>RTD("market.rtd",,"YahooFinanceOptions",$B10,$C10,$D10,$F10,I$8)</f>
        <v>0</v>
      </c>
      <c r="J10" s="3">
        <f>RTD("market.rtd",,"YahooFinanceOptions",$B10,$C10,$D10,$F10,J$8)</f>
        <v>0</v>
      </c>
      <c r="K10" s="3">
        <f>RTD("market.rtd",,"YahooFinanceOptions",$B10,$C10,$D10,$F10,K$8)</f>
        <v>0</v>
      </c>
      <c r="L10" s="3">
        <f>RTD("market.rtd",,"YahooFinanceOptions",$B10,$C10,$D10,$F10,L$8)</f>
        <v>0</v>
      </c>
      <c r="M10" s="10">
        <f>RTD("market.rtd",,"YahooFinanceOptions",$B10,$C10,$D10,$F10,M$8)</f>
        <v>660</v>
      </c>
      <c r="N10" s="10">
        <f>RTD("market.rtd",,"YahooFinanceOptions",$B10,$C10,$D10,$F10,N$8)</f>
        <v>4776</v>
      </c>
      <c r="O10" s="8">
        <f>RTD("market.rtd",,"YahooFinanceOptions",$B10,$C10,$D10,$F10,O$8)</f>
        <v>3.9162109375000002E-3</v>
      </c>
      <c r="P10" s="10"/>
      <c r="Q10" t="str">
        <f>RTD("market.rtd",,"YahooFinanceOptions",$B10,$C10,$D10,$F10,Q$8)</f>
        <v>AAPL260116C00205000</v>
      </c>
      <c r="R10" s="16">
        <f>RTD("market.rtd",,"YahooFinanceOptions",$B10,$C10,$D10,$F10,R$8)</f>
        <v>45799.357394224535</v>
      </c>
      <c r="S10">
        <f>RTD("market.rtd",,"YahooFinanceOptions",$B10,$C10,$D10,$F10,S$8)</f>
        <v>0</v>
      </c>
      <c r="T10" t="str">
        <f>RTD("market.rtd",,"YahooFinanceOptions",$B10,$C10,$D10,$F10,T$8)</f>
        <v/>
      </c>
    </row>
    <row r="11" spans="2:20" x14ac:dyDescent="0.25">
      <c r="B11" t="str">
        <f>$B$4</f>
        <v>AAPL</v>
      </c>
      <c r="C11" s="1">
        <f>$C$6</f>
        <v>46038</v>
      </c>
      <c r="D11" s="5">
        <f>RTD("market.rtd",,"YahooFinanceOptions",$B11,$C11,$C$4,$F11,"Strike~0")</f>
        <v>200</v>
      </c>
      <c r="F11" t="str">
        <f>$B$6</f>
        <v>CALL</v>
      </c>
      <c r="G11" s="3">
        <f>RTD("market.rtd",,"YahooFinanceOptions",$B11,$C11,$D11,$F11,G$8)</f>
        <v>23.8</v>
      </c>
      <c r="H11" s="3">
        <f>RTD("market.rtd",,"YahooFinanceOptions",$B11,$C11,$D11,$F11,H$8)</f>
        <v>0</v>
      </c>
      <c r="I11" s="8">
        <f>RTD("market.rtd",,"YahooFinanceOptions",$B11,$C11,$D11,$F11,I$8)</f>
        <v>0</v>
      </c>
      <c r="J11" s="3">
        <f>RTD("market.rtd",,"YahooFinanceOptions",$B11,$C11,$D11,$F11,J$8)</f>
        <v>0</v>
      </c>
      <c r="K11" s="3">
        <f>RTD("market.rtd",,"YahooFinanceOptions",$B11,$C11,$D11,$F11,K$8)</f>
        <v>0</v>
      </c>
      <c r="L11" s="3">
        <f>RTD("market.rtd",,"YahooFinanceOptions",$B11,$C11,$D11,$F11,L$8)</f>
        <v>0</v>
      </c>
      <c r="M11" s="10">
        <f>RTD("market.rtd",,"YahooFinanceOptions",$B11,$C11,$D11,$F11,M$8)</f>
        <v>248</v>
      </c>
      <c r="N11" s="10">
        <f>RTD("market.rtd",,"YahooFinanceOptions",$B11,$C11,$D11,$F11,N$8)</f>
        <v>17906</v>
      </c>
      <c r="O11" s="8">
        <f>RTD("market.rtd",,"YahooFinanceOptions",$B11,$C11,$D11,$F11,O$8)</f>
        <v>1.0000000000000003E-5</v>
      </c>
      <c r="P11" s="10"/>
      <c r="Q11" t="str">
        <f>RTD("market.rtd",,"YahooFinanceOptions",$B11,$C11,$D11,$F11,Q$8)</f>
        <v>AAPL260116C00200000</v>
      </c>
      <c r="R11" s="16">
        <f>RTD("market.rtd",,"YahooFinanceOptions",$B11,$C11,$D11,$F11,R$8)</f>
        <v>45799.357394224535</v>
      </c>
      <c r="S11">
        <f>RTD("market.rtd",,"YahooFinanceOptions",$B11,$C11,$D11,$F11,S$8)</f>
        <v>0</v>
      </c>
      <c r="T11" t="str">
        <f>RTD("market.rtd",,"YahooFinanceOptions",$B11,$C11,$D11,$F11,T$8)</f>
        <v/>
      </c>
    </row>
    <row r="12" spans="2:20" x14ac:dyDescent="0.25">
      <c r="B12" t="str">
        <f>$B$4</f>
        <v>AAPL</v>
      </c>
      <c r="C12" s="1">
        <f>$C$6</f>
        <v>46038</v>
      </c>
      <c r="D12">
        <f>RTD("market.rtd",,"YahooFinanceOptions",$B12,$C12,$D11,$F12,"Strike-1")</f>
        <v>195</v>
      </c>
      <c r="F12" t="str">
        <f>$B$6</f>
        <v>CALL</v>
      </c>
      <c r="G12" s="3">
        <f>RTD("market.rtd",,"YahooFinanceOptions",$B12,$C12,$D12,$F12,G$8)</f>
        <v>26.55</v>
      </c>
      <c r="H12" s="3">
        <f>RTD("market.rtd",,"YahooFinanceOptions",$B12,$C12,$D12,$F12,H$8)</f>
        <v>0</v>
      </c>
      <c r="I12" s="8">
        <f>RTD("market.rtd",,"YahooFinanceOptions",$B12,$C12,$D12,$F12,I$8)</f>
        <v>0</v>
      </c>
      <c r="J12" s="3">
        <f>RTD("market.rtd",,"YahooFinanceOptions",$B12,$C12,$D12,$F12,J$8)</f>
        <v>0</v>
      </c>
      <c r="K12" s="3">
        <f>RTD("market.rtd",,"YahooFinanceOptions",$B12,$C12,$D12,$F12,K$8)</f>
        <v>0</v>
      </c>
      <c r="L12" s="3">
        <f>RTD("market.rtd",,"YahooFinanceOptions",$B12,$C12,$D12,$F12,L$8)</f>
        <v>0</v>
      </c>
      <c r="M12" s="10">
        <f>RTD("market.rtd",,"YahooFinanceOptions",$B12,$C12,$D12,$F12,M$8)</f>
        <v>46</v>
      </c>
      <c r="N12" s="10">
        <f>RTD("market.rtd",,"YahooFinanceOptions",$B12,$C12,$D12,$F12,N$8)</f>
        <v>6528</v>
      </c>
      <c r="O12" s="8">
        <f>RTD("market.rtd",,"YahooFinanceOptions",$B12,$C12,$D12,$F12,O$8)</f>
        <v>1.0000000000000003E-5</v>
      </c>
      <c r="P12" s="10"/>
      <c r="Q12" t="str">
        <f>RTD("market.rtd",,"YahooFinanceOptions",$B12,$C12,$D12,$F12,Q$8)</f>
        <v>AAPL260116C00195000</v>
      </c>
      <c r="R12" s="16">
        <f>RTD("market.rtd",,"YahooFinanceOptions",$B12,$C12,$D12,$F12,R$8)</f>
        <v>45799.357394224535</v>
      </c>
      <c r="S12">
        <f>RTD("market.rtd",,"YahooFinanceOptions",$B12,$C12,$D12,$F12,S$8)</f>
        <v>0</v>
      </c>
      <c r="T12" t="str">
        <f>RTD("market.rtd",,"YahooFinanceOptions",$B12,$C12,$D12,$F12,T$8)</f>
        <v/>
      </c>
    </row>
    <row r="13" spans="2:20" x14ac:dyDescent="0.25">
      <c r="B13" t="str">
        <f>$B$4</f>
        <v>AAPL</v>
      </c>
      <c r="C13" s="1">
        <f>$C$6</f>
        <v>46038</v>
      </c>
      <c r="D13">
        <f>RTD("market.rtd",,"YahooFinanceOptions",$B13,$C13,$D12,$F13,"Strike-1")</f>
        <v>190</v>
      </c>
      <c r="F13" t="str">
        <f>$B$6</f>
        <v>CALL</v>
      </c>
      <c r="G13" s="3">
        <f>RTD("market.rtd",,"YahooFinanceOptions",$B13,$C13,$D13,$F13,G$8)</f>
        <v>29.3</v>
      </c>
      <c r="H13" s="3">
        <f>RTD("market.rtd",,"YahooFinanceOptions",$B13,$C13,$D13,$F13,H$8)</f>
        <v>0</v>
      </c>
      <c r="I13" s="8">
        <f>RTD("market.rtd",,"YahooFinanceOptions",$B13,$C13,$D13,$F13,I$8)</f>
        <v>0</v>
      </c>
      <c r="J13" s="3">
        <f>RTD("market.rtd",,"YahooFinanceOptions",$B13,$C13,$D13,$F13,J$8)</f>
        <v>0</v>
      </c>
      <c r="K13" s="3">
        <f>RTD("market.rtd",,"YahooFinanceOptions",$B13,$C13,$D13,$F13,K$8)</f>
        <v>0</v>
      </c>
      <c r="L13" s="3">
        <f>RTD("market.rtd",,"YahooFinanceOptions",$B13,$C13,$D13,$F13,L$8)</f>
        <v>0</v>
      </c>
      <c r="M13" s="10">
        <f>RTD("market.rtd",,"YahooFinanceOptions",$B13,$C13,$D13,$F13,M$8)</f>
        <v>25</v>
      </c>
      <c r="N13" s="10">
        <f>RTD("market.rtd",,"YahooFinanceOptions",$B13,$C13,$D13,$F13,N$8)</f>
        <v>4856</v>
      </c>
      <c r="O13" s="8">
        <f>RTD("market.rtd",,"YahooFinanceOptions",$B13,$C13,$D13,$F13,O$8)</f>
        <v>1.0000000000000003E-5</v>
      </c>
      <c r="P13" s="10"/>
      <c r="Q13" t="str">
        <f>RTD("market.rtd",,"YahooFinanceOptions",$B13,$C13,$D13,$F13,Q$8)</f>
        <v>AAPL260116C00190000</v>
      </c>
      <c r="R13" s="16">
        <f>RTD("market.rtd",,"YahooFinanceOptions",$B13,$C13,$D13,$F13,R$8)</f>
        <v>45799.357394224535</v>
      </c>
      <c r="S13">
        <f>RTD("market.rtd",,"YahooFinanceOptions",$B13,$C13,$D13,$F13,S$8)</f>
        <v>0</v>
      </c>
      <c r="T13" t="str">
        <f>RTD("market.rtd",,"YahooFinanceOptions",$B13,$C13,$D13,$F13,T$8)</f>
        <v/>
      </c>
    </row>
    <row r="15" spans="2:20" x14ac:dyDescent="0.25">
      <c r="B15" s="6" t="s">
        <v>14</v>
      </c>
      <c r="C15" s="7">
        <f>C6</f>
        <v>46038</v>
      </c>
      <c r="D15" s="1"/>
      <c r="E15" s="1"/>
    </row>
    <row r="17" spans="2:20" x14ac:dyDescent="0.25">
      <c r="B17" s="9" t="s">
        <v>11</v>
      </c>
      <c r="C17" s="9" t="s">
        <v>12</v>
      </c>
      <c r="D17" s="4" t="s">
        <v>5</v>
      </c>
      <c r="E17" s="4"/>
      <c r="F17" s="4" t="s">
        <v>13</v>
      </c>
      <c r="G17" s="4" t="s">
        <v>1</v>
      </c>
      <c r="H17" s="4" t="s">
        <v>4</v>
      </c>
      <c r="I17" s="4" t="s">
        <v>19</v>
      </c>
      <c r="J17" s="4" t="s">
        <v>6</v>
      </c>
      <c r="K17" s="4" t="s">
        <v>7</v>
      </c>
      <c r="L17" s="4" t="s">
        <v>8</v>
      </c>
      <c r="M17" s="4" t="s">
        <v>9</v>
      </c>
      <c r="N17" s="4" t="s">
        <v>10</v>
      </c>
      <c r="O17" s="4" t="s">
        <v>20</v>
      </c>
      <c r="P17" s="4"/>
      <c r="Q17" s="9" t="s">
        <v>15</v>
      </c>
      <c r="R17" s="9" t="s">
        <v>24</v>
      </c>
      <c r="S17" s="9" t="s">
        <v>17</v>
      </c>
      <c r="T17" s="4" t="s">
        <v>16</v>
      </c>
    </row>
    <row r="18" spans="2:20" x14ac:dyDescent="0.25">
      <c r="B18" t="str">
        <f>$B$4</f>
        <v>AAPL</v>
      </c>
      <c r="C18" s="1">
        <f>$C$15</f>
        <v>46038</v>
      </c>
      <c r="D18">
        <f>RTD("market.rtd",,"YahooFinanceOptions",$B18,$C18,$D19,$F18,"Strike+1")</f>
        <v>210</v>
      </c>
      <c r="F18" t="str">
        <f>$B$15</f>
        <v>PUT</v>
      </c>
      <c r="G18" s="3">
        <f>RTD("market.rtd",,"YahooFinanceOptions",$B18,$C18,$D18,$F18,G$17)</f>
        <v>21.4</v>
      </c>
      <c r="H18" s="3">
        <f>RTD("market.rtd",,"YahooFinanceOptions",$B18,$C18,$D18,$F18,H$17)</f>
        <v>0</v>
      </c>
      <c r="I18" s="8">
        <f>RTD("market.rtd",,"YahooFinanceOptions",$B18,$C18,$D18,$F18,I$17)</f>
        <v>0</v>
      </c>
      <c r="J18" s="3">
        <f>RTD("market.rtd",,"YahooFinanceOptions",$B18,$C18,$D18,$F18,J$17)</f>
        <v>0</v>
      </c>
      <c r="K18" s="3">
        <f>RTD("market.rtd",,"YahooFinanceOptions",$B18,$C18,$D18,$F18,K$17)</f>
        <v>0</v>
      </c>
      <c r="L18" s="3">
        <f>RTD("market.rtd",,"YahooFinanceOptions",$B18,$C18,$D18,$F18,L$17)</f>
        <v>0</v>
      </c>
      <c r="M18" s="10">
        <f>RTD("market.rtd",,"YahooFinanceOptions",$B18,$C18,$D18,$F18,M$17)</f>
        <v>874</v>
      </c>
      <c r="N18" s="10">
        <f>RTD("market.rtd",,"YahooFinanceOptions",$B18,$C18,$D18,$F18,N$17)</f>
        <v>20889</v>
      </c>
      <c r="O18" s="8">
        <f>RTD("market.rtd",,"YahooFinanceOptions",$B18,$C18,$D18,$F18,O$17)</f>
        <v>1.0000000000000003E-5</v>
      </c>
      <c r="P18" s="10"/>
      <c r="Q18" t="str">
        <f>RTD("market.rtd",,"YahooFinanceOptions",$B18,$C18,$D18,$F18,Q$17)</f>
        <v>AAPL260116P00210000</v>
      </c>
      <c r="R18" s="16">
        <f>RTD("market.rtd",,"YahooFinanceOptions",$B18,$C18,$D18,$F18,R$8)</f>
        <v>45799.357394224535</v>
      </c>
      <c r="S18">
        <f>RTD("market.rtd",,"YahooFinanceOptions",$B18,$C18,$D18,$F18,S$17)</f>
        <v>0</v>
      </c>
      <c r="T18" t="str">
        <f>RTD("market.rtd",,"YahooFinanceOptions",$B18,$C18,$D18,$F18,T$17)</f>
        <v/>
      </c>
    </row>
    <row r="19" spans="2:20" x14ac:dyDescent="0.25">
      <c r="B19" t="str">
        <f>$B$4</f>
        <v>AAPL</v>
      </c>
      <c r="C19" s="1">
        <f>$C$15</f>
        <v>46038</v>
      </c>
      <c r="D19">
        <f>RTD("market.rtd",,"YahooFinanceOptions",$B19,$C19,$D20,$F19,"Strike+1")</f>
        <v>205</v>
      </c>
      <c r="F19" t="str">
        <f>$B$15</f>
        <v>PUT</v>
      </c>
      <c r="G19" s="3">
        <f>RTD("market.rtd",,"YahooFinanceOptions",$B19,$C19,$D19,$F19,G$17)</f>
        <v>19.100000000000001</v>
      </c>
      <c r="H19" s="3">
        <f>RTD("market.rtd",,"YahooFinanceOptions",$B19,$C19,$D19,$F19,H$17)</f>
        <v>0</v>
      </c>
      <c r="I19" s="8">
        <f>RTD("market.rtd",,"YahooFinanceOptions",$B19,$C19,$D19,$F19,I$17)</f>
        <v>0</v>
      </c>
      <c r="J19" s="3">
        <f>RTD("market.rtd",,"YahooFinanceOptions",$B19,$C19,$D19,$F19,J$17)</f>
        <v>0</v>
      </c>
      <c r="K19" s="3">
        <f>RTD("market.rtd",,"YahooFinanceOptions",$B19,$C19,$D19,$F19,K$17)</f>
        <v>0</v>
      </c>
      <c r="L19" s="3">
        <f>RTD("market.rtd",,"YahooFinanceOptions",$B19,$C19,$D19,$F19,L$17)</f>
        <v>0</v>
      </c>
      <c r="M19" s="10">
        <f>RTD("market.rtd",,"YahooFinanceOptions",$B19,$C19,$D19,$F19,M$17)</f>
        <v>711</v>
      </c>
      <c r="N19" s="10">
        <f>RTD("market.rtd",,"YahooFinanceOptions",$B19,$C19,$D19,$F19,N$17)</f>
        <v>8906</v>
      </c>
      <c r="O19" s="8">
        <f>RTD("market.rtd",,"YahooFinanceOptions",$B19,$C19,$D19,$F19,O$17)</f>
        <v>1.0000000000000003E-5</v>
      </c>
      <c r="P19" s="10"/>
      <c r="Q19" t="str">
        <f>RTD("market.rtd",,"YahooFinanceOptions",$B19,$C19,$D19,$F19,Q$17)</f>
        <v>AAPL260116P00205000</v>
      </c>
      <c r="R19" s="16">
        <f>RTD("market.rtd",,"YahooFinanceOptions",$B19,$C19,$D19,$F19,R$8)</f>
        <v>45799.357394224535</v>
      </c>
      <c r="S19">
        <f>RTD("market.rtd",,"YahooFinanceOptions",$B19,$C19,$D19,$F19,S$17)</f>
        <v>0</v>
      </c>
      <c r="T19" t="str">
        <f>RTD("market.rtd",,"YahooFinanceOptions",$B19,$C19,$D19,$F19,T$17)</f>
        <v/>
      </c>
    </row>
    <row r="20" spans="2:20" x14ac:dyDescent="0.25">
      <c r="B20" t="str">
        <f>$B$4</f>
        <v>AAPL</v>
      </c>
      <c r="C20" s="1">
        <f>$C$15</f>
        <v>46038</v>
      </c>
      <c r="D20" s="5">
        <f>RTD("market.rtd",,"YahooFinanceOptions",$B20,$C20,$C$4,$F20,"Strike~0")</f>
        <v>200</v>
      </c>
      <c r="F20" t="str">
        <f>$B$15</f>
        <v>PUT</v>
      </c>
      <c r="G20" s="3">
        <f>RTD("market.rtd",,"YahooFinanceOptions",$B20,$C20,$D20,$F20,G$17)</f>
        <v>16.399999999999999</v>
      </c>
      <c r="H20" s="3">
        <f>RTD("market.rtd",,"YahooFinanceOptions",$B20,$C20,$D20,$F20,H$17)</f>
        <v>0</v>
      </c>
      <c r="I20" s="8">
        <f>RTD("market.rtd",,"YahooFinanceOptions",$B20,$C20,$D20,$F20,I$17)</f>
        <v>0</v>
      </c>
      <c r="J20" s="3">
        <f>RTD("market.rtd",,"YahooFinanceOptions",$B20,$C20,$D20,$F20,J$17)</f>
        <v>0</v>
      </c>
      <c r="K20" s="3">
        <f>RTD("market.rtd",,"YahooFinanceOptions",$B20,$C20,$D20,$F20,K$17)</f>
        <v>0</v>
      </c>
      <c r="L20" s="3">
        <f>RTD("market.rtd",,"YahooFinanceOptions",$B20,$C20,$D20,$F20,L$17)</f>
        <v>0</v>
      </c>
      <c r="M20" s="10">
        <f>RTD("market.rtd",,"YahooFinanceOptions",$B20,$C20,$D20,$F20,M$17)</f>
        <v>796</v>
      </c>
      <c r="N20" s="10">
        <f>RTD("market.rtd",,"YahooFinanceOptions",$B20,$C20,$D20,$F20,N$17)</f>
        <v>27204</v>
      </c>
      <c r="O20" s="8">
        <f>RTD("market.rtd",,"YahooFinanceOptions",$B20,$C20,$D20,$F20,O$17)</f>
        <v>3.9162109375000002E-3</v>
      </c>
      <c r="P20" s="10"/>
      <c r="Q20" t="str">
        <f>RTD("market.rtd",,"YahooFinanceOptions",$B20,$C20,$D20,$F20,Q$17)</f>
        <v>AAPL260116P00200000</v>
      </c>
      <c r="R20" s="16">
        <f>RTD("market.rtd",,"YahooFinanceOptions",$B20,$C20,$D20,$F20,R$8)</f>
        <v>45799.357394224535</v>
      </c>
      <c r="S20">
        <f>RTD("market.rtd",,"YahooFinanceOptions",$B20,$C20,$D20,$F20,S$17)</f>
        <v>0</v>
      </c>
      <c r="T20" t="str">
        <f>RTD("market.rtd",,"YahooFinanceOptions",$B20,$C20,$D20,$F20,T$17)</f>
        <v/>
      </c>
    </row>
    <row r="21" spans="2:20" x14ac:dyDescent="0.25">
      <c r="B21" t="str">
        <f>$B$4</f>
        <v>AAPL</v>
      </c>
      <c r="C21" s="1">
        <f>$C$15</f>
        <v>46038</v>
      </c>
      <c r="D21">
        <f>RTD("market.rtd",,"YahooFinanceOptions",$B21,$C21,$D20,$F21,"Strike-1")</f>
        <v>195</v>
      </c>
      <c r="F21" t="str">
        <f>$B$15</f>
        <v>PUT</v>
      </c>
      <c r="G21" s="3">
        <f>RTD("market.rtd",,"YahooFinanceOptions",$B21,$C21,$D21,$F21,G$17)</f>
        <v>14.8</v>
      </c>
      <c r="H21" s="3">
        <f>RTD("market.rtd",,"YahooFinanceOptions",$B21,$C21,$D21,$F21,H$17)</f>
        <v>0</v>
      </c>
      <c r="I21" s="8">
        <f>RTD("market.rtd",,"YahooFinanceOptions",$B21,$C21,$D21,$F21,I$17)</f>
        <v>0</v>
      </c>
      <c r="J21" s="3">
        <f>RTD("market.rtd",,"YahooFinanceOptions",$B21,$C21,$D21,$F21,J$17)</f>
        <v>0</v>
      </c>
      <c r="K21" s="3">
        <f>RTD("market.rtd",,"YahooFinanceOptions",$B21,$C21,$D21,$F21,K$17)</f>
        <v>0</v>
      </c>
      <c r="L21" s="3">
        <f>RTD("market.rtd",,"YahooFinanceOptions",$B21,$C21,$D21,$F21,L$17)</f>
        <v>0</v>
      </c>
      <c r="M21" s="10">
        <f>RTD("market.rtd",,"YahooFinanceOptions",$B21,$C21,$D21,$F21,M$17)</f>
        <v>106</v>
      </c>
      <c r="N21" s="10">
        <f>RTD("market.rtd",,"YahooFinanceOptions",$B21,$C21,$D21,$F21,N$17)</f>
        <v>10369</v>
      </c>
      <c r="O21" s="8">
        <f>RTD("market.rtd",,"YahooFinanceOptions",$B21,$C21,$D21,$F21,O$17)</f>
        <v>7.8224218750000008E-3</v>
      </c>
      <c r="P21" s="10"/>
      <c r="Q21" t="str">
        <f>RTD("market.rtd",,"YahooFinanceOptions",$B21,$C21,$D21,$F21,Q$17)</f>
        <v>AAPL260116P00195000</v>
      </c>
      <c r="R21" s="16">
        <f>RTD("market.rtd",,"YahooFinanceOptions",$B21,$C21,$D21,$F21,R$8)</f>
        <v>45799.357394224535</v>
      </c>
      <c r="S21">
        <f>RTD("market.rtd",,"YahooFinanceOptions",$B21,$C21,$D21,$F21,S$17)</f>
        <v>0</v>
      </c>
      <c r="T21" t="str">
        <f>RTD("market.rtd",,"YahooFinanceOptions",$B21,$C21,$D21,$F21,T$17)</f>
        <v/>
      </c>
    </row>
    <row r="22" spans="2:20" x14ac:dyDescent="0.25">
      <c r="B22" t="str">
        <f>$B$4</f>
        <v>AAPL</v>
      </c>
      <c r="C22" s="1">
        <f>$C$15</f>
        <v>46038</v>
      </c>
      <c r="D22">
        <f>RTD("market.rtd",,"YahooFinanceOptions",$B22,$C22,$D21,$F22,"Strike-1")</f>
        <v>190</v>
      </c>
      <c r="F22" t="str">
        <f>$B$15</f>
        <v>PUT</v>
      </c>
      <c r="G22" s="3">
        <f>RTD("market.rtd",,"YahooFinanceOptions",$B22,$C22,$D22,$F22,G$17)</f>
        <v>12.76</v>
      </c>
      <c r="H22" s="3">
        <f>RTD("market.rtd",,"YahooFinanceOptions",$B22,$C22,$D22,$F22,H$17)</f>
        <v>0</v>
      </c>
      <c r="I22" s="8">
        <f>RTD("market.rtd",,"YahooFinanceOptions",$B22,$C22,$D22,$F22,I$17)</f>
        <v>0</v>
      </c>
      <c r="J22" s="3">
        <f>RTD("market.rtd",,"YahooFinanceOptions",$B22,$C22,$D22,$F22,J$17)</f>
        <v>0</v>
      </c>
      <c r="K22" s="3">
        <f>RTD("market.rtd",,"YahooFinanceOptions",$B22,$C22,$D22,$F22,K$17)</f>
        <v>0</v>
      </c>
      <c r="L22" s="3">
        <f>RTD("market.rtd",,"YahooFinanceOptions",$B22,$C22,$D22,$F22,L$17)</f>
        <v>0</v>
      </c>
      <c r="M22" s="10">
        <f>RTD("market.rtd",,"YahooFinanceOptions",$B22,$C22,$D22,$F22,M$17)</f>
        <v>119</v>
      </c>
      <c r="N22" s="10">
        <f>RTD("market.rtd",,"YahooFinanceOptions",$B22,$C22,$D22,$F22,N$17)</f>
        <v>13802</v>
      </c>
      <c r="O22" s="8">
        <f>RTD("market.rtd",,"YahooFinanceOptions",$B22,$C22,$D22,$F22,O$17)</f>
        <v>1.5634843750000002E-2</v>
      </c>
      <c r="P22" s="10"/>
      <c r="Q22" t="str">
        <f>RTD("market.rtd",,"YahooFinanceOptions",$B22,$C22,$D22,$F22,Q$17)</f>
        <v>AAPL260116P00190000</v>
      </c>
      <c r="R22" s="16">
        <f>RTD("market.rtd",,"YahooFinanceOptions",$B22,$C22,$D22,$F22,R$8)</f>
        <v>45799.357394224535</v>
      </c>
      <c r="S22">
        <f>RTD("market.rtd",,"YahooFinanceOptions",$B22,$C22,$D22,$F22,S$17)</f>
        <v>0</v>
      </c>
      <c r="T22" t="str">
        <f>RTD("market.rtd",,"YahooFinanceOptions",$B22,$C22,$D22,$F22,T$17)</f>
        <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39A37-36F6-4C1D-8661-046907894A8A}">
  <sheetPr>
    <tabColor rgb="FF00B050"/>
  </sheetPr>
  <dimension ref="B3:R22"/>
  <sheetViews>
    <sheetView showGridLines="0" tabSelected="1" workbookViewId="0"/>
  </sheetViews>
  <sheetFormatPr defaultRowHeight="15" x14ac:dyDescent="0.25"/>
  <cols>
    <col min="1" max="1" width="4.28515625" customWidth="1"/>
    <col min="3" max="3" width="10.140625" bestFit="1" customWidth="1"/>
    <col min="4" max="4" width="12.85546875" customWidth="1"/>
    <col min="5" max="18" width="10.7109375" customWidth="1"/>
  </cols>
  <sheetData>
    <row r="3" spans="2:18" x14ac:dyDescent="0.25">
      <c r="C3" s="4" t="s">
        <v>1</v>
      </c>
      <c r="D3" s="4" t="s">
        <v>4</v>
      </c>
      <c r="E3" s="4"/>
      <c r="F3" s="4" t="s">
        <v>2</v>
      </c>
      <c r="G3" s="4" t="s">
        <v>3</v>
      </c>
      <c r="I3" s="4" t="s">
        <v>21</v>
      </c>
      <c r="K3" s="9" t="s">
        <v>24</v>
      </c>
      <c r="L3" s="9"/>
      <c r="M3" s="9" t="s">
        <v>17</v>
      </c>
      <c r="N3" s="9"/>
      <c r="O3" s="4" t="s">
        <v>16</v>
      </c>
    </row>
    <row r="4" spans="2:18" x14ac:dyDescent="0.25">
      <c r="B4" s="6" t="s">
        <v>30</v>
      </c>
      <c r="C4" s="2">
        <f>RTD("market.rtd",,"YahooFinanceQuotes",$B$4,C$3)</f>
        <v>202.09</v>
      </c>
      <c r="D4" s="2">
        <f>RTD("market.rtd",,"YahooFinanceQuotes",$B$4,D$3)</f>
        <v>-4.7700043000000001</v>
      </c>
      <c r="E4" s="2"/>
      <c r="F4" s="2">
        <f>RTD("market.rtd",,"YahooFinanceQuotes",$B$4,F$3)</f>
        <v>200.72</v>
      </c>
      <c r="G4" s="2">
        <f>RTD("market.rtd",,"YahooFinanceQuotes",$B$4,G$3)</f>
        <v>207.04</v>
      </c>
      <c r="I4" s="11">
        <f>RTD("market.rtd",,"YahooFinanceQuotes",$B$4,I$3)</f>
        <v>0.66667824074074078</v>
      </c>
      <c r="K4" s="1">
        <f>RTD("market.rtd",,"YahooFinanceQuotes",$B$4,K$3)</f>
        <v>45799.356454733796</v>
      </c>
      <c r="L4" s="1"/>
      <c r="M4">
        <f>RTD("market.rtd",,"YahooFinanceQuotes",$B$4,M$3)</f>
        <v>0</v>
      </c>
      <c r="O4" t="str">
        <f>RTD("market.rtd",,"YahooFinanceQuotes",$B$4,O$3)</f>
        <v/>
      </c>
    </row>
    <row r="6" spans="2:18" x14ac:dyDescent="0.25">
      <c r="B6" s="6" t="s">
        <v>0</v>
      </c>
      <c r="C6" s="7">
        <v>46038</v>
      </c>
      <c r="D6" s="17" t="s">
        <v>10</v>
      </c>
      <c r="E6">
        <f>IF(OR(D6="Volume",D6="OpenInt"),2,IF(OR(D6="ChangePercent",D6="ImpVol"),3,1))</f>
        <v>2</v>
      </c>
      <c r="F6" s="19">
        <f>C6</f>
        <v>46038</v>
      </c>
    </row>
    <row r="7" spans="2:18" x14ac:dyDescent="0.25">
      <c r="D7" s="1"/>
    </row>
    <row r="8" spans="2:18" x14ac:dyDescent="0.25">
      <c r="B8" s="4" t="s">
        <v>27</v>
      </c>
      <c r="C8" s="4"/>
      <c r="D8" s="1">
        <f>RTD("market.rtd",,"YahooFinanceOptions",$B$4,$C$6,$B$11,$B$6,"ExpDate1")</f>
        <v>45800</v>
      </c>
      <c r="E8" s="1">
        <f>RTD("market.rtd",,"YahooFinanceOptions",$B$4,$C$6,$B$11,$B$6,"ExpDate2")</f>
        <v>45807</v>
      </c>
      <c r="F8" s="1">
        <f>RTD("market.rtd",,"YahooFinanceOptions",$B$4,$C$6,$B$11,$B$6,"ExpDate3")</f>
        <v>45814</v>
      </c>
      <c r="G8" s="1">
        <f>RTD("market.rtd",,"YahooFinanceOptions",$B$4,$C$6,$B$11,$B$6,"ExpDate4")</f>
        <v>45821</v>
      </c>
      <c r="H8" s="1">
        <f>RTD("market.rtd",,"YahooFinanceOptions",$B$4,$C$6,$B$11,$B$6,"ExpDate5")</f>
        <v>45828</v>
      </c>
      <c r="I8" s="1">
        <f>RTD("market.rtd",,"YahooFinanceOptions",$B$4,$C$6,$B$11,$B$6,"ExpDate6")</f>
        <v>45835</v>
      </c>
      <c r="J8" s="1">
        <f>RTD("market.rtd",,"YahooFinanceOptions",$B$4,$C$6,$B$11,$B$6,"ExpDate7")</f>
        <v>45856</v>
      </c>
      <c r="K8" s="1">
        <f>RTD("market.rtd",,"YahooFinanceOptions",$B$4,$C$6,$B$11,$B$6,"ExpDate8")</f>
        <v>45884</v>
      </c>
      <c r="L8" s="1">
        <f>RTD("market.rtd",,"YahooFinanceOptions",$B$4,$C$6,$B$11,$B$6,"ExpDate9")</f>
        <v>45919</v>
      </c>
      <c r="M8" s="1">
        <f>RTD("market.rtd",,"YahooFinanceOptions",$B$4,$C$6,$B$11,$B$6,"ExpDate10")</f>
        <v>45947</v>
      </c>
      <c r="N8" s="1">
        <f>RTD("market.rtd",,"YahooFinanceOptions",$B$4,$C$6,$B$11,$B$6,"ExpDate11")</f>
        <v>45982</v>
      </c>
      <c r="O8" s="1">
        <f>RTD("market.rtd",,"YahooFinanceOptions",$B$4,$C$6,$B$11,$B$6,"ExpDate12")</f>
        <v>46010</v>
      </c>
      <c r="P8" s="1">
        <f>RTD("market.rtd",,"YahooFinanceOptions",$B$4,$C$6,$B$11,$B$6,"ExpDate13")</f>
        <v>46038</v>
      </c>
      <c r="Q8" s="1">
        <f>RTD("market.rtd",,"YahooFinanceOptions",$B$4,$C$6,$B$11,$B$6,"ExpDate14")</f>
        <v>46101</v>
      </c>
      <c r="R8" s="1">
        <f>RTD("market.rtd",,"YahooFinanceOptions",$B$4,$C$6,$B$11,$B$6,"ExpDate15")</f>
        <v>46191</v>
      </c>
    </row>
    <row r="9" spans="2:18" x14ac:dyDescent="0.25">
      <c r="B9">
        <f>RTD("market.rtd",,"YahooFinanceOptions",$B$4,$F$6,B10,$B$6,"Strike+1")</f>
        <v>210</v>
      </c>
      <c r="D9" s="3">
        <f>IFERROR(RTD("market.rtd",,"YahooFinanceOptions",$B$4,D$8,$B9,$B$6,$D$6),0)</f>
        <v>21158</v>
      </c>
      <c r="E9" s="3">
        <f>IFERROR(RTD("market.rtd",,"YahooFinanceOptions",$B$4,E$8,$B9,$B$6,$D$6),0)</f>
        <v>15086</v>
      </c>
      <c r="F9" s="3">
        <f>IFERROR(RTD("market.rtd",,"YahooFinanceOptions",$B$4,F$8,$B9,$B$6,$D$6),0)</f>
        <v>4454</v>
      </c>
      <c r="G9" s="3">
        <f>IFERROR(RTD("market.rtd",,"YahooFinanceOptions",$B$4,G$8,$B9,$B$6,$D$6),0)</f>
        <v>3460</v>
      </c>
      <c r="H9" s="3">
        <f>IFERROR(RTD("market.rtd",,"YahooFinanceOptions",$B$4,H$8,$B9,$B$6,$D$6),0)</f>
        <v>37654</v>
      </c>
      <c r="I9" s="3">
        <f>IFERROR(RTD("market.rtd",,"YahooFinanceOptions",$B$4,I$8,$B9,$B$6,$D$6),0)</f>
        <v>1079</v>
      </c>
      <c r="J9" s="3">
        <f>IFERROR(RTD("market.rtd",,"YahooFinanceOptions",$B$4,J$8,$B9,$B$6,$D$6),0)</f>
        <v>8368</v>
      </c>
      <c r="K9" s="3">
        <f>IFERROR(RTD("market.rtd",,"YahooFinanceOptions",$B$4,K$8,$B9,$B$6,$D$6),0)</f>
        <v>6743</v>
      </c>
      <c r="L9" s="3">
        <f>IFERROR(RTD("market.rtd",,"YahooFinanceOptions",$B$4,L$8,$B9,$B$6,$D$6),0)</f>
        <v>7683</v>
      </c>
      <c r="M9" s="3">
        <f>IFERROR(RTD("market.rtd",,"YahooFinanceOptions",$B$4,M$8,$B9,$B$6,$D$6),0)</f>
        <v>2084</v>
      </c>
      <c r="N9" s="3">
        <f>IFERROR(RTD("market.rtd",,"YahooFinanceOptions",$B$4,N$8,$B9,$B$6,$D$6),0)</f>
        <v>298</v>
      </c>
      <c r="O9" s="3">
        <f>IFERROR(RTD("market.rtd",,"YahooFinanceOptions",$B$4,O$8,$B9,$B$6,$D$6),0)</f>
        <v>6473</v>
      </c>
      <c r="P9" s="3">
        <f>IFERROR(RTD("market.rtd",,"YahooFinanceOptions",$B$4,P$8,$B9,$B$6,$D$6),0)</f>
        <v>10496</v>
      </c>
      <c r="Q9" s="3">
        <f>IFERROR(RTD("market.rtd",,"YahooFinanceOptions",$B$4,Q$8,$B9,$B$6,$D$6),0)</f>
        <v>1687</v>
      </c>
      <c r="R9" s="3">
        <f>IFERROR(RTD("market.rtd",,"YahooFinanceOptions",$B$4,R$8,$B9,$B$6,$D$6),0)</f>
        <v>6226</v>
      </c>
    </row>
    <row r="10" spans="2:18" x14ac:dyDescent="0.25">
      <c r="B10">
        <f>RTD("market.rtd",,"YahooFinanceOptions",$B$4,$F$6,B11,$B$6,"Strike+1")</f>
        <v>205</v>
      </c>
      <c r="D10" s="3">
        <f>IFERROR(RTD("market.rtd",,"YahooFinanceOptions",$B$4,D$8,$B10,$B$6,$D$6),0)</f>
        <v>10068</v>
      </c>
      <c r="E10" s="3">
        <f>IFERROR(RTD("market.rtd",,"YahooFinanceOptions",$B$4,E$8,$B10,$B$6,$D$6),0)</f>
        <v>6355</v>
      </c>
      <c r="F10" s="3">
        <f>IFERROR(RTD("market.rtd",,"YahooFinanceOptions",$B$4,F$8,$B10,$B$6,$D$6),0)</f>
        <v>2355</v>
      </c>
      <c r="G10" s="3">
        <f>IFERROR(RTD("market.rtd",,"YahooFinanceOptions",$B$4,G$8,$B10,$B$6,$D$6),0)</f>
        <v>1322</v>
      </c>
      <c r="H10" s="3">
        <f>IFERROR(RTD("market.rtd",,"YahooFinanceOptions",$B$4,H$8,$B10,$B$6,$D$6),0)</f>
        <v>17820</v>
      </c>
      <c r="I10" s="3">
        <f>IFERROR(RTD("market.rtd",,"YahooFinanceOptions",$B$4,I$8,$B10,$B$6,$D$6),0)</f>
        <v>10984</v>
      </c>
      <c r="J10" s="3">
        <f>IFERROR(RTD("market.rtd",,"YahooFinanceOptions",$B$4,J$8,$B10,$B$6,$D$6),0)</f>
        <v>8208</v>
      </c>
      <c r="K10" s="3">
        <f>IFERROR(RTD("market.rtd",,"YahooFinanceOptions",$B$4,K$8,$B10,$B$6,$D$6),0)</f>
        <v>2314</v>
      </c>
      <c r="L10" s="3">
        <f>IFERROR(RTD("market.rtd",,"YahooFinanceOptions",$B$4,L$8,$B10,$B$6,$D$6),0)</f>
        <v>3031</v>
      </c>
      <c r="M10" s="3">
        <f>IFERROR(RTD("market.rtd",,"YahooFinanceOptions",$B$4,M$8,$B10,$B$6,$D$6),0)</f>
        <v>1204</v>
      </c>
      <c r="N10" s="3">
        <f>IFERROR(RTD("market.rtd",,"YahooFinanceOptions",$B$4,N$8,$B10,$B$6,$D$6),0)</f>
        <v>104</v>
      </c>
      <c r="O10" s="3">
        <f>IFERROR(RTD("market.rtd",,"YahooFinanceOptions",$B$4,O$8,$B10,$B$6,$D$6),0)</f>
        <v>2622</v>
      </c>
      <c r="P10" s="3">
        <f>IFERROR(RTD("market.rtd",,"YahooFinanceOptions",$B$4,P$8,$B10,$B$6,$D$6),0)</f>
        <v>4776</v>
      </c>
      <c r="Q10" s="3">
        <f>IFERROR(RTD("market.rtd",,"YahooFinanceOptions",$B$4,Q$8,$B10,$B$6,$D$6),0)</f>
        <v>0</v>
      </c>
      <c r="R10" s="3">
        <f>IFERROR(RTD("market.rtd",,"YahooFinanceOptions",$B$4,R$8,$B10,$B$6,$D$6),0)</f>
        <v>3407</v>
      </c>
    </row>
    <row r="11" spans="2:18" x14ac:dyDescent="0.25">
      <c r="B11" s="5">
        <f>RTD("market.rtd",,"YahooFinanceOptions",$B$4,$C$6,$C$4,$B$6,"Strike~0")</f>
        <v>200</v>
      </c>
      <c r="D11" s="3">
        <f>IFERROR(RTD("market.rtd",,"YahooFinanceOptions",$B$4,D$8,$B11,$B$6,$D$6),0)</f>
        <v>4160</v>
      </c>
      <c r="E11" s="3">
        <f>IFERROR(RTD("market.rtd",,"YahooFinanceOptions",$B$4,E$8,$B11,$B$6,$D$6),0)</f>
        <v>3076</v>
      </c>
      <c r="F11" s="3">
        <f>IFERROR(RTD("market.rtd",,"YahooFinanceOptions",$B$4,F$8,$B11,$B$6,$D$6),0)</f>
        <v>7033</v>
      </c>
      <c r="G11" s="3">
        <f>IFERROR(RTD("market.rtd",,"YahooFinanceOptions",$B$4,G$8,$B11,$B$6,$D$6),0)</f>
        <v>1417</v>
      </c>
      <c r="H11" s="3">
        <f>IFERROR(RTD("market.rtd",,"YahooFinanceOptions",$B$4,H$8,$B11,$B$6,$D$6),0)</f>
        <v>28397</v>
      </c>
      <c r="I11" s="3">
        <f>IFERROR(RTD("market.rtd",,"YahooFinanceOptions",$B$4,I$8,$B11,$B$6,$D$6),0)</f>
        <v>1481</v>
      </c>
      <c r="J11" s="3">
        <f>IFERROR(RTD("market.rtd",,"YahooFinanceOptions",$B$4,J$8,$B11,$B$6,$D$6),0)</f>
        <v>5482</v>
      </c>
      <c r="K11" s="3">
        <f>IFERROR(RTD("market.rtd",,"YahooFinanceOptions",$B$4,K$8,$B11,$B$6,$D$6),0)</f>
        <v>3004</v>
      </c>
      <c r="L11" s="3">
        <f>IFERROR(RTD("market.rtd",,"YahooFinanceOptions",$B$4,L$8,$B11,$B$6,$D$6),0)</f>
        <v>7781</v>
      </c>
      <c r="M11" s="3">
        <f>IFERROR(RTD("market.rtd",,"YahooFinanceOptions",$B$4,M$8,$B11,$B$6,$D$6),0)</f>
        <v>2139</v>
      </c>
      <c r="N11" s="3">
        <f>IFERROR(RTD("market.rtd",,"YahooFinanceOptions",$B$4,N$8,$B11,$B$6,$D$6),0)</f>
        <v>88</v>
      </c>
      <c r="O11" s="3">
        <f>IFERROR(RTD("market.rtd",,"YahooFinanceOptions",$B$4,O$8,$B11,$B$6,$D$6),0)</f>
        <v>5446</v>
      </c>
      <c r="P11" s="3">
        <f>IFERROR(RTD("market.rtd",,"YahooFinanceOptions",$B$4,P$8,$B11,$B$6,$D$6),0)</f>
        <v>17906</v>
      </c>
      <c r="Q11" s="3">
        <f>IFERROR(RTD("market.rtd",,"YahooFinanceOptions",$B$4,Q$8,$B11,$B$6,$D$6),0)</f>
        <v>3874</v>
      </c>
      <c r="R11" s="3">
        <f>IFERROR(RTD("market.rtd",,"YahooFinanceOptions",$B$4,R$8,$B11,$B$6,$D$6),0)</f>
        <v>4936</v>
      </c>
    </row>
    <row r="12" spans="2:18" x14ac:dyDescent="0.25">
      <c r="B12">
        <f>RTD("market.rtd",,"YahooFinanceOptions",$B$4,$F$6,B11,$B$6,"Strike-1")</f>
        <v>195</v>
      </c>
      <c r="D12" s="3">
        <f>IFERROR(RTD("market.rtd",,"YahooFinanceOptions",$B$4,D$8,$B12,$B$6,$D$6),0)</f>
        <v>861</v>
      </c>
      <c r="E12" s="3">
        <f>IFERROR(RTD("market.rtd",,"YahooFinanceOptions",$B$4,E$8,$B12,$B$6,$D$6),0)</f>
        <v>2017</v>
      </c>
      <c r="F12" s="3">
        <f>IFERROR(RTD("market.rtd",,"YahooFinanceOptions",$B$4,F$8,$B12,$B$6,$D$6),0)</f>
        <v>922</v>
      </c>
      <c r="G12" s="3">
        <f>IFERROR(RTD("market.rtd",,"YahooFinanceOptions",$B$4,G$8,$B12,$B$6,$D$6),0)</f>
        <v>1502</v>
      </c>
      <c r="H12" s="3">
        <f>IFERROR(RTD("market.rtd",,"YahooFinanceOptions",$B$4,H$8,$B12,$B$6,$D$6),0)</f>
        <v>15607</v>
      </c>
      <c r="I12" s="3">
        <f>IFERROR(RTD("market.rtd",,"YahooFinanceOptions",$B$4,I$8,$B12,$B$6,$D$6),0)</f>
        <v>411</v>
      </c>
      <c r="J12" s="3">
        <f>IFERROR(RTD("market.rtd",,"YahooFinanceOptions",$B$4,J$8,$B12,$B$6,$D$6),0)</f>
        <v>2318</v>
      </c>
      <c r="K12" s="3">
        <f>IFERROR(RTD("market.rtd",,"YahooFinanceOptions",$B$4,K$8,$B12,$B$6,$D$6),0)</f>
        <v>849</v>
      </c>
      <c r="L12" s="3">
        <f>IFERROR(RTD("market.rtd",,"YahooFinanceOptions",$B$4,L$8,$B12,$B$6,$D$6),0)</f>
        <v>2352</v>
      </c>
      <c r="M12" s="3">
        <f>IFERROR(RTD("market.rtd",,"YahooFinanceOptions",$B$4,M$8,$B12,$B$6,$D$6),0)</f>
        <v>859</v>
      </c>
      <c r="N12" s="3">
        <f>IFERROR(RTD("market.rtd",,"YahooFinanceOptions",$B$4,N$8,$B12,$B$6,$D$6),0)</f>
        <v>1</v>
      </c>
      <c r="O12" s="3">
        <f>IFERROR(RTD("market.rtd",,"YahooFinanceOptions",$B$4,O$8,$B12,$B$6,$D$6),0)</f>
        <v>2404</v>
      </c>
      <c r="P12" s="3">
        <f>IFERROR(RTD("market.rtd",,"YahooFinanceOptions",$B$4,P$8,$B12,$B$6,$D$6),0)</f>
        <v>6528</v>
      </c>
      <c r="Q12" s="3">
        <f>IFERROR(RTD("market.rtd",,"YahooFinanceOptions",$B$4,Q$8,$B12,$B$6,$D$6),0)</f>
        <v>1752</v>
      </c>
      <c r="R12" s="3">
        <f>IFERROR(RTD("market.rtd",,"YahooFinanceOptions",$B$4,R$8,$B12,$B$6,$D$6),0)</f>
        <v>2184</v>
      </c>
    </row>
    <row r="13" spans="2:18" x14ac:dyDescent="0.25">
      <c r="B13">
        <f>RTD("market.rtd",,"YahooFinanceOptions",$B$4,$F$6,B12,$B$6,"Strike-1")</f>
        <v>190</v>
      </c>
      <c r="D13" s="3">
        <f>IFERROR(RTD("market.rtd",,"YahooFinanceOptions",$B$4,D$8,$B13,$B$6,$D$6),0)</f>
        <v>1216</v>
      </c>
      <c r="E13" s="3">
        <f>IFERROR(RTD("market.rtd",,"YahooFinanceOptions",$B$4,E$8,$B13,$B$6,$D$6),0)</f>
        <v>707</v>
      </c>
      <c r="F13" s="3">
        <f>IFERROR(RTD("market.rtd",,"YahooFinanceOptions",$B$4,F$8,$B13,$B$6,$D$6),0)</f>
        <v>259</v>
      </c>
      <c r="G13" s="3">
        <f>IFERROR(RTD("market.rtd",,"YahooFinanceOptions",$B$4,G$8,$B13,$B$6,$D$6),0)</f>
        <v>250</v>
      </c>
      <c r="H13" s="3">
        <f>IFERROR(RTD("market.rtd",,"YahooFinanceOptions",$B$4,H$8,$B13,$B$6,$D$6),0)</f>
        <v>11665</v>
      </c>
      <c r="I13" s="3">
        <f>IFERROR(RTD("market.rtd",,"YahooFinanceOptions",$B$4,I$8,$B13,$B$6,$D$6),0)</f>
        <v>468</v>
      </c>
      <c r="J13" s="3">
        <f>IFERROR(RTD("market.rtd",,"YahooFinanceOptions",$B$4,J$8,$B13,$B$6,$D$6),0)</f>
        <v>1588</v>
      </c>
      <c r="K13" s="3">
        <f>IFERROR(RTD("market.rtd",,"YahooFinanceOptions",$B$4,K$8,$B13,$B$6,$D$6),0)</f>
        <v>2293</v>
      </c>
      <c r="L13" s="3">
        <f>IFERROR(RTD("market.rtd",,"YahooFinanceOptions",$B$4,L$8,$B13,$B$6,$D$6),0)</f>
        <v>2283</v>
      </c>
      <c r="M13" s="3">
        <f>IFERROR(RTD("market.rtd",,"YahooFinanceOptions",$B$4,M$8,$B13,$B$6,$D$6),0)</f>
        <v>638</v>
      </c>
      <c r="N13" s="3">
        <f>IFERROR(RTD("market.rtd",,"YahooFinanceOptions",$B$4,N$8,$B13,$B$6,$D$6),0)</f>
        <v>13</v>
      </c>
      <c r="O13" s="3">
        <f>IFERROR(RTD("market.rtd",,"YahooFinanceOptions",$B$4,O$8,$B13,$B$6,$D$6),0)</f>
        <v>2759</v>
      </c>
      <c r="P13" s="3">
        <f>IFERROR(RTD("market.rtd",,"YahooFinanceOptions",$B$4,P$8,$B13,$B$6,$D$6),0)</f>
        <v>4856</v>
      </c>
      <c r="Q13" s="3">
        <f>IFERROR(RTD("market.rtd",,"YahooFinanceOptions",$B$4,Q$8,$B13,$B$6,$D$6),0)</f>
        <v>803</v>
      </c>
      <c r="R13" s="3">
        <f>IFERROR(RTD("market.rtd",,"YahooFinanceOptions",$B$4,R$8,$B13,$B$6,$D$6),0)</f>
        <v>5225</v>
      </c>
    </row>
    <row r="15" spans="2:18" x14ac:dyDescent="0.25">
      <c r="B15" s="6" t="s">
        <v>14</v>
      </c>
      <c r="C15" s="1"/>
      <c r="D15" s="1"/>
    </row>
    <row r="17" spans="2:18" x14ac:dyDescent="0.25">
      <c r="B17" s="4" t="s">
        <v>27</v>
      </c>
      <c r="C17" s="4"/>
      <c r="D17" s="1">
        <f>D8</f>
        <v>45800</v>
      </c>
      <c r="E17" s="1">
        <f t="shared" ref="E17:J17" si="0">E8</f>
        <v>45807</v>
      </c>
      <c r="F17" s="1">
        <f t="shared" si="0"/>
        <v>45814</v>
      </c>
      <c r="G17" s="1">
        <f t="shared" si="0"/>
        <v>45821</v>
      </c>
      <c r="H17" s="1">
        <f t="shared" si="0"/>
        <v>45828</v>
      </c>
      <c r="I17" s="1">
        <f t="shared" si="0"/>
        <v>45835</v>
      </c>
      <c r="J17" s="1">
        <f t="shared" si="0"/>
        <v>45856</v>
      </c>
      <c r="K17" s="1">
        <f t="shared" ref="K17:P17" si="1">K8</f>
        <v>45884</v>
      </c>
      <c r="L17" s="1">
        <f t="shared" si="1"/>
        <v>45919</v>
      </c>
      <c r="M17" s="1">
        <f t="shared" si="1"/>
        <v>45947</v>
      </c>
      <c r="N17" s="1">
        <f t="shared" si="1"/>
        <v>45982</v>
      </c>
      <c r="O17" s="1">
        <f t="shared" si="1"/>
        <v>46010</v>
      </c>
      <c r="P17" s="1">
        <f t="shared" si="1"/>
        <v>46038</v>
      </c>
      <c r="Q17" s="1">
        <f t="shared" ref="Q17:R17" si="2">Q8</f>
        <v>46101</v>
      </c>
      <c r="R17" s="1">
        <f t="shared" si="2"/>
        <v>46191</v>
      </c>
    </row>
    <row r="18" spans="2:18" x14ac:dyDescent="0.25">
      <c r="B18">
        <f>RTD("market.rtd",,"YahooFinanceOptions",$B$4,$F$6,B19,$B$6,"Strike+1")</f>
        <v>210</v>
      </c>
      <c r="D18" s="3">
        <f>IFERROR(RTD("market.rtd",,"YahooFinanceOptions",$B$4,D$8,$B18,$B$15,$D$6),0)</f>
        <v>5813</v>
      </c>
      <c r="E18" s="3">
        <f>IFERROR(RTD("market.rtd",,"YahooFinanceOptions",$B$4,E$8,$B18,$B$15,$D$6),0)</f>
        <v>1945</v>
      </c>
      <c r="F18" s="3">
        <f>IFERROR(RTD("market.rtd",,"YahooFinanceOptions",$B$4,F$8,$B18,$B$15,$D$6),0)</f>
        <v>1444</v>
      </c>
      <c r="G18" s="3">
        <f>IFERROR(RTD("market.rtd",,"YahooFinanceOptions",$B$4,G$8,$B18,$B$15,$D$6),0)</f>
        <v>895</v>
      </c>
      <c r="H18" s="3">
        <f>IFERROR(RTD("market.rtd",,"YahooFinanceOptions",$B$4,H$8,$B18,$B$15,$D$6),0)</f>
        <v>33384</v>
      </c>
      <c r="I18" s="3">
        <f>IFERROR(RTD("market.rtd",,"YahooFinanceOptions",$B$4,I$8,$B18,$B$15,$D$6),0)</f>
        <v>614</v>
      </c>
      <c r="J18" s="3">
        <f>IFERROR(RTD("market.rtd",,"YahooFinanceOptions",$B$4,J$8,$B18,$B$15,$D$6),0)</f>
        <v>8491</v>
      </c>
      <c r="K18" s="3">
        <f>IFERROR(RTD("market.rtd",,"YahooFinanceOptions",$B$4,K$8,$B18,$B$15,$D$6),0)</f>
        <v>20842</v>
      </c>
      <c r="L18" s="3">
        <f>IFERROR(RTD("market.rtd",,"YahooFinanceOptions",$B$4,L$8,$B18,$B$15,$D$6),0)</f>
        <v>9092</v>
      </c>
      <c r="M18" s="3">
        <f>IFERROR(RTD("market.rtd",,"YahooFinanceOptions",$B$4,M$8,$B18,$B$15,$D$6),0)</f>
        <v>4530</v>
      </c>
      <c r="N18" s="3">
        <f>IFERROR(RTD("market.rtd",,"YahooFinanceOptions",$B$4,N$8,$B18,$B$15,$D$6),0)</f>
        <v>297</v>
      </c>
      <c r="O18" s="3">
        <f>IFERROR(RTD("market.rtd",,"YahooFinanceOptions",$B$4,O$8,$B18,$B$15,$D$6),0)</f>
        <v>4571</v>
      </c>
      <c r="P18" s="3">
        <f>IFERROR(RTD("market.rtd",,"YahooFinanceOptions",$B$4,P$8,$B18,$B$15,$D$6),0)</f>
        <v>20889</v>
      </c>
      <c r="Q18" s="3">
        <f>IFERROR(RTD("market.rtd",,"YahooFinanceOptions",$B$4,Q$8,$B18,$B$15,$D$6),0)</f>
        <v>2653</v>
      </c>
      <c r="R18" s="3">
        <f>IFERROR(RTD("market.rtd",,"YahooFinanceOptions",$B$4,R$8,$B18,$B$15,$D$6),0)</f>
        <v>3313</v>
      </c>
    </row>
    <row r="19" spans="2:18" x14ac:dyDescent="0.25">
      <c r="B19">
        <f>RTD("market.rtd",,"YahooFinanceOptions",$B$4,$F$6,B20,$B$6,"Strike+1")</f>
        <v>205</v>
      </c>
      <c r="D19" s="3">
        <f>IFERROR(RTD("market.rtd",,"YahooFinanceOptions",$B$4,D$8,$B19,$B$15,$D$6),0)</f>
        <v>8942</v>
      </c>
      <c r="E19" s="3">
        <f>IFERROR(RTD("market.rtd",,"YahooFinanceOptions",$B$4,E$8,$B19,$B$15,$D$6),0)</f>
        <v>5233</v>
      </c>
      <c r="F19" s="3">
        <f>IFERROR(RTD("market.rtd",,"YahooFinanceOptions",$B$4,F$8,$B19,$B$15,$D$6),0)</f>
        <v>5267</v>
      </c>
      <c r="G19" s="3">
        <f>IFERROR(RTD("market.rtd",,"YahooFinanceOptions",$B$4,G$8,$B19,$B$15,$D$6),0)</f>
        <v>3781</v>
      </c>
      <c r="H19" s="3">
        <f>IFERROR(RTD("market.rtd",,"YahooFinanceOptions",$B$4,H$8,$B19,$B$15,$D$6),0)</f>
        <v>17881</v>
      </c>
      <c r="I19" s="3">
        <f>IFERROR(RTD("market.rtd",,"YahooFinanceOptions",$B$4,I$8,$B19,$B$15,$D$6),0)</f>
        <v>513</v>
      </c>
      <c r="J19" s="3">
        <f>IFERROR(RTD("market.rtd",,"YahooFinanceOptions",$B$4,J$8,$B19,$B$15,$D$6),0)</f>
        <v>11631</v>
      </c>
      <c r="K19" s="3">
        <f>IFERROR(RTD("market.rtd",,"YahooFinanceOptions",$B$4,K$8,$B19,$B$15,$D$6),0)</f>
        <v>5229</v>
      </c>
      <c r="L19" s="3">
        <f>IFERROR(RTD("market.rtd",,"YahooFinanceOptions",$B$4,L$8,$B19,$B$15,$D$6),0)</f>
        <v>10359</v>
      </c>
      <c r="M19" s="3">
        <f>IFERROR(RTD("market.rtd",,"YahooFinanceOptions",$B$4,M$8,$B19,$B$15,$D$6),0)</f>
        <v>1651</v>
      </c>
      <c r="N19" s="3">
        <f>IFERROR(RTD("market.rtd",,"YahooFinanceOptions",$B$4,N$8,$B19,$B$15,$D$6),0)</f>
        <v>399</v>
      </c>
      <c r="O19" s="3">
        <f>IFERROR(RTD("market.rtd",,"YahooFinanceOptions",$B$4,O$8,$B19,$B$15,$D$6),0)</f>
        <v>4224</v>
      </c>
      <c r="P19" s="3">
        <f>IFERROR(RTD("market.rtd",,"YahooFinanceOptions",$B$4,P$8,$B19,$B$15,$D$6),0)</f>
        <v>8906</v>
      </c>
      <c r="Q19" s="3">
        <f>IFERROR(RTD("market.rtd",,"YahooFinanceOptions",$B$4,Q$8,$B19,$B$15,$D$6),0)</f>
        <v>0</v>
      </c>
      <c r="R19" s="3">
        <f>IFERROR(RTD("market.rtd",,"YahooFinanceOptions",$B$4,R$8,$B19,$B$15,$D$6),0)</f>
        <v>2292</v>
      </c>
    </row>
    <row r="20" spans="2:18" x14ac:dyDescent="0.25">
      <c r="B20" s="5">
        <f>RTD("market.rtd",,"YahooFinanceOptions",$B$4,$C$6,$C$4,$B$6,"Strike~0")</f>
        <v>200</v>
      </c>
      <c r="D20" s="3">
        <f>IFERROR(RTD("market.rtd",,"YahooFinanceOptions",$B$4,D$8,$B20,$B$15,$D$6),0)</f>
        <v>16210</v>
      </c>
      <c r="E20" s="3">
        <f>IFERROR(RTD("market.rtd",,"YahooFinanceOptions",$B$4,E$8,$B20,$B$15,$D$6),0)</f>
        <v>7895</v>
      </c>
      <c r="F20" s="3">
        <f>IFERROR(RTD("market.rtd",,"YahooFinanceOptions",$B$4,F$8,$B20,$B$15,$D$6),0)</f>
        <v>2422</v>
      </c>
      <c r="G20" s="3">
        <f>IFERROR(RTD("market.rtd",,"YahooFinanceOptions",$B$4,G$8,$B20,$B$15,$D$6),0)</f>
        <v>3405</v>
      </c>
      <c r="H20" s="3">
        <f>IFERROR(RTD("market.rtd",,"YahooFinanceOptions",$B$4,H$8,$B20,$B$15,$D$6),0)</f>
        <v>46117</v>
      </c>
      <c r="I20" s="3">
        <f>IFERROR(RTD("market.rtd",,"YahooFinanceOptions",$B$4,I$8,$B20,$B$15,$D$6),0)</f>
        <v>1305</v>
      </c>
      <c r="J20" s="3">
        <f>IFERROR(RTD("market.rtd",,"YahooFinanceOptions",$B$4,J$8,$B20,$B$15,$D$6),0)</f>
        <v>21557</v>
      </c>
      <c r="K20" s="3">
        <f>IFERROR(RTD("market.rtd",,"YahooFinanceOptions",$B$4,K$8,$B20,$B$15,$D$6),0)</f>
        <v>7739</v>
      </c>
      <c r="L20" s="3">
        <f>IFERROR(RTD("market.rtd",,"YahooFinanceOptions",$B$4,L$8,$B20,$B$15,$D$6),0)</f>
        <v>13007</v>
      </c>
      <c r="M20" s="3">
        <f>IFERROR(RTD("market.rtd",,"YahooFinanceOptions",$B$4,M$8,$B20,$B$15,$D$6),0)</f>
        <v>7978</v>
      </c>
      <c r="N20" s="3">
        <f>IFERROR(RTD("market.rtd",,"YahooFinanceOptions",$B$4,N$8,$B20,$B$15,$D$6),0)</f>
        <v>2010</v>
      </c>
      <c r="O20" s="3">
        <f>IFERROR(RTD("market.rtd",,"YahooFinanceOptions",$B$4,O$8,$B20,$B$15,$D$6),0)</f>
        <v>11922</v>
      </c>
      <c r="P20" s="3">
        <f>IFERROR(RTD("market.rtd",,"YahooFinanceOptions",$B$4,P$8,$B20,$B$15,$D$6),0)</f>
        <v>27204</v>
      </c>
      <c r="Q20" s="3">
        <f>IFERROR(RTD("market.rtd",,"YahooFinanceOptions",$B$4,Q$8,$B20,$B$15,$D$6),0)</f>
        <v>4546</v>
      </c>
      <c r="R20" s="3">
        <f>IFERROR(RTD("market.rtd",,"YahooFinanceOptions",$B$4,R$8,$B20,$B$15,$D$6),0)</f>
        <v>5558</v>
      </c>
    </row>
    <row r="21" spans="2:18" x14ac:dyDescent="0.25">
      <c r="B21">
        <f>RTD("market.rtd",,"YahooFinanceOptions",$B$4,$F$6,B20,$B$6,"Strike-1")</f>
        <v>195</v>
      </c>
      <c r="D21" s="3">
        <f>IFERROR(RTD("market.rtd",,"YahooFinanceOptions",$B$4,D$8,$B21,$B$15,$D$6),0)</f>
        <v>14004</v>
      </c>
      <c r="E21" s="3">
        <f>IFERROR(RTD("market.rtd",,"YahooFinanceOptions",$B$4,E$8,$B21,$B$15,$D$6),0)</f>
        <v>5328</v>
      </c>
      <c r="F21" s="3">
        <f>IFERROR(RTD("market.rtd",,"YahooFinanceOptions",$B$4,F$8,$B21,$B$15,$D$6),0)</f>
        <v>2097</v>
      </c>
      <c r="G21" s="3">
        <f>IFERROR(RTD("market.rtd",,"YahooFinanceOptions",$B$4,G$8,$B21,$B$15,$D$6),0)</f>
        <v>784</v>
      </c>
      <c r="H21" s="3">
        <f>IFERROR(RTD("market.rtd",,"YahooFinanceOptions",$B$4,H$8,$B21,$B$15,$D$6),0)</f>
        <v>24661</v>
      </c>
      <c r="I21" s="3">
        <f>IFERROR(RTD("market.rtd",,"YahooFinanceOptions",$B$4,I$8,$B21,$B$15,$D$6),0)</f>
        <v>4065</v>
      </c>
      <c r="J21" s="3">
        <f>IFERROR(RTD("market.rtd",,"YahooFinanceOptions",$B$4,J$8,$B21,$B$15,$D$6),0)</f>
        <v>9487</v>
      </c>
      <c r="K21" s="3">
        <f>IFERROR(RTD("market.rtd",,"YahooFinanceOptions",$B$4,K$8,$B21,$B$15,$D$6),0)</f>
        <v>4583</v>
      </c>
      <c r="L21" s="3">
        <f>IFERROR(RTD("market.rtd",,"YahooFinanceOptions",$B$4,L$8,$B21,$B$15,$D$6),0)</f>
        <v>11337</v>
      </c>
      <c r="M21" s="3">
        <f>IFERROR(RTD("market.rtd",,"YahooFinanceOptions",$B$4,M$8,$B21,$B$15,$D$6),0)</f>
        <v>3208</v>
      </c>
      <c r="N21" s="3">
        <f>IFERROR(RTD("market.rtd",,"YahooFinanceOptions",$B$4,N$8,$B21,$B$15,$D$6),0)</f>
        <v>765</v>
      </c>
      <c r="O21" s="3">
        <f>IFERROR(RTD("market.rtd",,"YahooFinanceOptions",$B$4,O$8,$B21,$B$15,$D$6),0)</f>
        <v>4552</v>
      </c>
      <c r="P21" s="3">
        <f>IFERROR(RTD("market.rtd",,"YahooFinanceOptions",$B$4,P$8,$B21,$B$15,$D$6),0)</f>
        <v>10369</v>
      </c>
      <c r="Q21" s="3">
        <f>IFERROR(RTD("market.rtd",,"YahooFinanceOptions",$B$4,Q$8,$B21,$B$15,$D$6),0)</f>
        <v>4610</v>
      </c>
      <c r="R21" s="3">
        <f>IFERROR(RTD("market.rtd",,"YahooFinanceOptions",$B$4,R$8,$B21,$B$15,$D$6),0)</f>
        <v>1318</v>
      </c>
    </row>
    <row r="22" spans="2:18" x14ac:dyDescent="0.25">
      <c r="B22">
        <f>RTD("market.rtd",,"YahooFinanceOptions",$B$4,$F$6,B21,$B$6,"Strike-1")</f>
        <v>190</v>
      </c>
      <c r="D22" s="3">
        <f>IFERROR(RTD("market.rtd",,"YahooFinanceOptions",$B$4,D$8,$B22,$B$15,$D$6),0)</f>
        <v>6944</v>
      </c>
      <c r="E22" s="3">
        <f>IFERROR(RTD("market.rtd",,"YahooFinanceOptions",$B$4,E$8,$B22,$B$15,$D$6),0)</f>
        <v>14138</v>
      </c>
      <c r="F22" s="3">
        <f>IFERROR(RTD("market.rtd",,"YahooFinanceOptions",$B$4,F$8,$B22,$B$15,$D$6),0)</f>
        <v>3227</v>
      </c>
      <c r="G22" s="3">
        <f>IFERROR(RTD("market.rtd",,"YahooFinanceOptions",$B$4,G$8,$B22,$B$15,$D$6),0)</f>
        <v>1396</v>
      </c>
      <c r="H22" s="3">
        <f>IFERROR(RTD("market.rtd",,"YahooFinanceOptions",$B$4,H$8,$B22,$B$15,$D$6),0)</f>
        <v>26407</v>
      </c>
      <c r="I22" s="3">
        <f>IFERROR(RTD("market.rtd",,"YahooFinanceOptions",$B$4,I$8,$B22,$B$15,$D$6),0)</f>
        <v>953</v>
      </c>
      <c r="J22" s="3">
        <f>IFERROR(RTD("market.rtd",,"YahooFinanceOptions",$B$4,J$8,$B22,$B$15,$D$6),0)</f>
        <v>9971</v>
      </c>
      <c r="K22" s="3">
        <f>IFERROR(RTD("market.rtd",,"YahooFinanceOptions",$B$4,K$8,$B22,$B$15,$D$6),0)</f>
        <v>5602</v>
      </c>
      <c r="L22" s="3">
        <f>IFERROR(RTD("market.rtd",,"YahooFinanceOptions",$B$4,L$8,$B22,$B$15,$D$6),0)</f>
        <v>11335</v>
      </c>
      <c r="M22" s="3">
        <f>IFERROR(RTD("market.rtd",,"YahooFinanceOptions",$B$4,M$8,$B22,$B$15,$D$6),0)</f>
        <v>7293</v>
      </c>
      <c r="N22" s="3">
        <f>IFERROR(RTD("market.rtd",,"YahooFinanceOptions",$B$4,N$8,$B22,$B$15,$D$6),0)</f>
        <v>419</v>
      </c>
      <c r="O22" s="3">
        <f>IFERROR(RTD("market.rtd",,"YahooFinanceOptions",$B$4,O$8,$B22,$B$15,$D$6),0)</f>
        <v>5837</v>
      </c>
      <c r="P22" s="3">
        <f>IFERROR(RTD("market.rtd",,"YahooFinanceOptions",$B$4,P$8,$B22,$B$15,$D$6),0)</f>
        <v>13802</v>
      </c>
      <c r="Q22" s="3">
        <f>IFERROR(RTD("market.rtd",,"YahooFinanceOptions",$B$4,Q$8,$B22,$B$15,$D$6),0)</f>
        <v>4258</v>
      </c>
      <c r="R22" s="3">
        <f>IFERROR(RTD("market.rtd",,"YahooFinanceOptions",$B$4,R$8,$B22,$B$15,$D$6),0)</f>
        <v>6173</v>
      </c>
    </row>
  </sheetData>
  <conditionalFormatting sqref="D9:R13">
    <cfRule type="expression" dxfId="3" priority="3">
      <formula>$E$6=3</formula>
    </cfRule>
    <cfRule type="expression" dxfId="2" priority="4">
      <formula>$E$6=2</formula>
    </cfRule>
  </conditionalFormatting>
  <conditionalFormatting sqref="D18:R22">
    <cfRule type="expression" dxfId="1" priority="1">
      <formula>$E$6=3</formula>
    </cfRule>
    <cfRule type="expression" dxfId="0" priority="2">
      <formula>$E$6=2</formula>
    </cfRule>
  </conditionalFormatting>
  <dataValidations count="1">
    <dataValidation type="list" allowBlank="1" showInputMessage="1" showErrorMessage="1" sqref="D6" xr:uid="{73E6D428-77DD-4FCB-8187-114DCCC40263}">
      <formula1>"Last,Change,ChangePercent,Mark,Bid,Ask,Volume,OpenInt,ImpVol"</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6CD21-EDEA-4F32-BB82-89CEB8CCFAB8}">
  <sheetPr>
    <tabColor rgb="FF00B050"/>
  </sheetPr>
  <dimension ref="C1:T60"/>
  <sheetViews>
    <sheetView showGridLines="0" workbookViewId="0">
      <selection activeCell="D11" sqref="D11"/>
    </sheetView>
  </sheetViews>
  <sheetFormatPr defaultRowHeight="15" outlineLevelRow="1" x14ac:dyDescent="0.25"/>
  <cols>
    <col min="1" max="1" width="3.5703125" customWidth="1"/>
    <col min="2" max="2" width="3" bestFit="1" customWidth="1"/>
    <col min="3" max="3" width="10.140625" bestFit="1" customWidth="1"/>
    <col min="4" max="4" width="11.7109375" customWidth="1"/>
    <col min="6" max="6" width="11.28515625" customWidth="1"/>
    <col min="7" max="7" width="10.5703125" customWidth="1"/>
    <col min="9" max="9" width="9.5703125" customWidth="1"/>
    <col min="10" max="10" width="16.28515625" bestFit="1" customWidth="1"/>
    <col min="11" max="11" width="6" bestFit="1" customWidth="1"/>
    <col min="12" max="12" width="8.140625" customWidth="1"/>
    <col min="17" max="17" width="12.28515625" bestFit="1" customWidth="1"/>
    <col min="18" max="18" width="15.85546875" bestFit="1" customWidth="1"/>
    <col min="19" max="19" width="18.85546875" bestFit="1" customWidth="1"/>
    <col min="20" max="20" width="19" bestFit="1" customWidth="1"/>
  </cols>
  <sheetData>
    <row r="1" spans="3:20" x14ac:dyDescent="0.25">
      <c r="C1" s="19">
        <v>46038</v>
      </c>
      <c r="F1" t="s">
        <v>38</v>
      </c>
      <c r="H1">
        <f ca="1">COUNTA(OFFSET($D$11,0,0,COUNTIF($D$11:$D$60,"&gt;0"),1))</f>
        <v>20</v>
      </c>
      <c r="I1" s="20" t="s">
        <v>40</v>
      </c>
    </row>
    <row r="2" spans="3:20" x14ac:dyDescent="0.25">
      <c r="F2" t="s">
        <v>39</v>
      </c>
      <c r="H2">
        <f ca="1">COUNTA(OFFSET($E$11,0,0,COUNTIF($E$11:$E$60,"&gt;0"),1))</f>
        <v>49</v>
      </c>
      <c r="I2" s="20" t="s">
        <v>42</v>
      </c>
    </row>
    <row r="3" spans="3:20" x14ac:dyDescent="0.25">
      <c r="I3" s="20"/>
    </row>
    <row r="5" spans="3:20" x14ac:dyDescent="0.25">
      <c r="C5" s="9" t="s">
        <v>11</v>
      </c>
      <c r="D5" s="9" t="s">
        <v>37</v>
      </c>
      <c r="E5" s="9" t="s">
        <v>27</v>
      </c>
      <c r="F5" s="9" t="s">
        <v>26</v>
      </c>
      <c r="G5" s="4" t="s">
        <v>43</v>
      </c>
      <c r="H5" s="4" t="s">
        <v>1</v>
      </c>
      <c r="I5" s="4" t="s">
        <v>4</v>
      </c>
      <c r="J5" s="9" t="s">
        <v>41</v>
      </c>
      <c r="K5" s="4" t="s">
        <v>6</v>
      </c>
      <c r="L5" s="4" t="s">
        <v>7</v>
      </c>
      <c r="M5" s="4" t="s">
        <v>8</v>
      </c>
      <c r="N5" s="4" t="s">
        <v>9</v>
      </c>
      <c r="O5" s="4" t="s">
        <v>10</v>
      </c>
      <c r="P5" s="4"/>
      <c r="Q5" s="9" t="s">
        <v>17</v>
      </c>
      <c r="R5" s="9" t="s">
        <v>16</v>
      </c>
      <c r="S5" s="9" t="s">
        <v>23</v>
      </c>
      <c r="T5" s="9" t="s">
        <v>22</v>
      </c>
    </row>
    <row r="6" spans="3:20" x14ac:dyDescent="0.25">
      <c r="C6" s="21" t="s">
        <v>30</v>
      </c>
      <c r="D6" s="19">
        <v>46038</v>
      </c>
      <c r="E6" s="21">
        <v>150</v>
      </c>
      <c r="F6" s="21" t="s">
        <v>0</v>
      </c>
      <c r="G6" s="2">
        <f>RTD("market.rtd",,"YahooFinanceQuotes",$C$6,"Last")</f>
        <v>202.09</v>
      </c>
      <c r="H6" s="3">
        <f>RTD("market.rtd",,"YahooFinanceOptions",$C$6,$D6,$E6,$F6,H$5)</f>
        <v>60.3</v>
      </c>
      <c r="I6">
        <f>RTD("market.rtd",,"YahooFinanceOptions",$C$6,$D6,$E6,$F6,I$5)</f>
        <v>0</v>
      </c>
      <c r="J6" s="8">
        <f>RTD("market.rtd",,"YahooFinanceOptions",$C$6,$D6,$E6,$F6,J$5)</f>
        <v>0</v>
      </c>
      <c r="K6" s="3">
        <f>RTD("market.rtd",,"YahooFinanceOptions",$C$6,$D6,$E6,$F6,K$5)</f>
        <v>0</v>
      </c>
      <c r="L6" s="3">
        <f>RTD("market.rtd",,"YahooFinanceOptions",$C$6,$D6,$E6,$F6,L$5)</f>
        <v>0</v>
      </c>
      <c r="M6" s="3">
        <f>RTD("market.rtd",,"YahooFinanceOptions",$C$6,$D6,$E6,$F6,M$5)</f>
        <v>0</v>
      </c>
      <c r="N6" s="10">
        <f>RTD("market.rtd",,"YahooFinanceOptions",$C$6,$D6,$E6,$F6,N$5)</f>
        <v>370</v>
      </c>
      <c r="O6" s="10">
        <f>RTD("market.rtd",,"YahooFinanceOptions",$C$6,$D6,$E6,$F6,O$5)</f>
        <v>43012</v>
      </c>
      <c r="Q6">
        <f>RTD("market.rtd",,"YahooFinanceOptions",$C$6,$D6,$E6,$F6,Q$5)</f>
        <v>0</v>
      </c>
      <c r="R6" t="str">
        <f>RTD("market.rtd",,"YahooFinanceOptions",$C$6,$D6,$E6,$F6,R$5)</f>
        <v/>
      </c>
      <c r="S6" s="1">
        <f>RTD("market.rtd",,"YahooFinanceOptions",$C$6,$D6,$E6,$F6,S$5)</f>
        <v>45799</v>
      </c>
      <c r="T6" s="11">
        <f>RTD("market.rtd",,"YahooFinanceOptions",$C$6,$D6,$E6,$F6,T$5)</f>
        <v>0.35739422453703706</v>
      </c>
    </row>
    <row r="10" spans="3:20" outlineLevel="1" x14ac:dyDescent="0.25">
      <c r="D10" s="9" t="s">
        <v>35</v>
      </c>
      <c r="E10" s="4" t="s">
        <v>36</v>
      </c>
    </row>
    <row r="11" spans="3:20" outlineLevel="1" x14ac:dyDescent="0.25">
      <c r="C11">
        <v>1</v>
      </c>
      <c r="D11" s="1">
        <f>IFERROR(RTD("market.rtd",,"YahooFinanceOptions",$C$6,$C$1,0,"CALL","ExpDate"&amp;C11),"")</f>
        <v>45800</v>
      </c>
      <c r="E11" s="22">
        <f>IFERROR(RTD("market.rtd",,"YahooFinanceOptions",$C$6,$D$6,0,"CALL","Strike+1"),"")</f>
        <v>5</v>
      </c>
    </row>
    <row r="12" spans="3:20" outlineLevel="1" x14ac:dyDescent="0.25">
      <c r="C12">
        <v>2</v>
      </c>
      <c r="D12" s="1">
        <f>IFERROR(RTD("market.rtd",,"YahooFinanceOptions",$C$6,$C$1,0,"CALL","ExpDate"&amp;C12),"")</f>
        <v>45807</v>
      </c>
      <c r="E12" s="2">
        <f>IF(E11="","",IFERROR(RTD("market.rtd",,"YahooFinanceOptions",$C$6,$D$6,E11,"CALL","Strike+1"),""))</f>
        <v>10</v>
      </c>
    </row>
    <row r="13" spans="3:20" outlineLevel="1" x14ac:dyDescent="0.25">
      <c r="C13">
        <v>3</v>
      </c>
      <c r="D13" s="1">
        <f>IFERROR(RTD("market.rtd",,"YahooFinanceOptions",$C$6,$C$1,0,"CALL","ExpDate"&amp;C13),"")</f>
        <v>45814</v>
      </c>
      <c r="E13" s="2">
        <f>IF(E12="","",IFERROR(RTD("market.rtd",,"YahooFinanceOptions",$C$6,$D$6,E12,"CALL","Strike+1"),""))</f>
        <v>15</v>
      </c>
    </row>
    <row r="14" spans="3:20" outlineLevel="1" x14ac:dyDescent="0.25">
      <c r="C14">
        <v>4</v>
      </c>
      <c r="D14" s="1">
        <f>IFERROR(RTD("market.rtd",,"YahooFinanceOptions",$C$6,$C$1,0,"CALL","ExpDate"&amp;C14),"")</f>
        <v>45821</v>
      </c>
      <c r="E14" s="2">
        <f>IF(E13="","",IFERROR(RTD("market.rtd",,"YahooFinanceOptions",$C$6,$D$6,E13,"CALL","Strike+1"),""))</f>
        <v>20</v>
      </c>
    </row>
    <row r="15" spans="3:20" outlineLevel="1" x14ac:dyDescent="0.25">
      <c r="C15">
        <v>5</v>
      </c>
      <c r="D15" s="1">
        <f>IFERROR(RTD("market.rtd",,"YahooFinanceOptions",$C$6,$C$1,0,"CALL","ExpDate"&amp;C15),"")</f>
        <v>45828</v>
      </c>
      <c r="E15" s="2">
        <f>IF(E14="","",IFERROR(RTD("market.rtd",,"YahooFinanceOptions",$C$6,$D$6,E14,"CALL","Strike+1"),""))</f>
        <v>25</v>
      </c>
    </row>
    <row r="16" spans="3:20" outlineLevel="1" x14ac:dyDescent="0.25">
      <c r="C16">
        <v>6</v>
      </c>
      <c r="D16" s="1">
        <f>IFERROR(RTD("market.rtd",,"YahooFinanceOptions",$C$6,$C$1,0,"CALL","ExpDate"&amp;C16),"")</f>
        <v>45835</v>
      </c>
      <c r="E16" s="2">
        <f>IF(E15="","",IFERROR(RTD("market.rtd",,"YahooFinanceOptions",$C$6,$D$6,E15,"CALL","Strike+1"),""))</f>
        <v>30</v>
      </c>
    </row>
    <row r="17" spans="3:5" outlineLevel="1" x14ac:dyDescent="0.25">
      <c r="C17">
        <v>7</v>
      </c>
      <c r="D17" s="1">
        <f>IFERROR(RTD("market.rtd",,"YahooFinanceOptions",$C$6,$C$1,0,"CALL","ExpDate"&amp;C17),"")</f>
        <v>45856</v>
      </c>
      <c r="E17" s="2">
        <f>IF(E16="","",IFERROR(RTD("market.rtd",,"YahooFinanceOptions",$C$6,$D$6,E16,"CALL","Strike+1"),""))</f>
        <v>35</v>
      </c>
    </row>
    <row r="18" spans="3:5" outlineLevel="1" x14ac:dyDescent="0.25">
      <c r="C18">
        <v>8</v>
      </c>
      <c r="D18" s="1">
        <f>IFERROR(RTD("market.rtd",,"YahooFinanceOptions",$C$6,$C$1,0,"CALL","ExpDate"&amp;C18),"")</f>
        <v>45884</v>
      </c>
      <c r="E18" s="2">
        <f>IF(E17="","",IFERROR(RTD("market.rtd",,"YahooFinanceOptions",$C$6,$D$6,E17,"CALL","Strike+1"),""))</f>
        <v>40</v>
      </c>
    </row>
    <row r="19" spans="3:5" outlineLevel="1" x14ac:dyDescent="0.25">
      <c r="C19">
        <v>9</v>
      </c>
      <c r="D19" s="1">
        <f>IFERROR(RTD("market.rtd",,"YahooFinanceOptions",$C$6,$C$1,0,"CALL","ExpDate"&amp;C19),"")</f>
        <v>45919</v>
      </c>
      <c r="E19" s="2">
        <f>IF(E18="","",IFERROR(RTD("market.rtd",,"YahooFinanceOptions",$C$6,$D$6,E18,"CALL","Strike+1"),""))</f>
        <v>45</v>
      </c>
    </row>
    <row r="20" spans="3:5" outlineLevel="1" x14ac:dyDescent="0.25">
      <c r="C20">
        <v>10</v>
      </c>
      <c r="D20" s="1">
        <f>IFERROR(RTD("market.rtd",,"YahooFinanceOptions",$C$6,$C$1,0,"CALL","ExpDate"&amp;C20),"")</f>
        <v>45947</v>
      </c>
      <c r="E20" s="2">
        <f>IF(E19="","",IFERROR(RTD("market.rtd",,"YahooFinanceOptions",$C$6,$D$6,E19,"CALL","Strike+1"),""))</f>
        <v>50</v>
      </c>
    </row>
    <row r="21" spans="3:5" outlineLevel="1" x14ac:dyDescent="0.25">
      <c r="C21">
        <v>11</v>
      </c>
      <c r="D21" s="1">
        <f>IFERROR(RTD("market.rtd",,"YahooFinanceOptions",$C$6,$C$1,0,"CALL","ExpDate"&amp;C21),"")</f>
        <v>45982</v>
      </c>
      <c r="E21" s="2">
        <f>IF(E20="","",IFERROR(RTD("market.rtd",,"YahooFinanceOptions",$C$6,$D$6,E20,"CALL","Strike+1"),""))</f>
        <v>55</v>
      </c>
    </row>
    <row r="22" spans="3:5" outlineLevel="1" x14ac:dyDescent="0.25">
      <c r="C22">
        <v>12</v>
      </c>
      <c r="D22" s="1">
        <f>IFERROR(RTD("market.rtd",,"YahooFinanceOptions",$C$6,$C$1,0,"CALL","ExpDate"&amp;C22),"")</f>
        <v>46010</v>
      </c>
      <c r="E22" s="2">
        <f>IF(E21="","",IFERROR(RTD("market.rtd",,"YahooFinanceOptions",$C$6,$D$6,E21,"CALL","Strike+1"),""))</f>
        <v>60</v>
      </c>
    </row>
    <row r="23" spans="3:5" outlineLevel="1" x14ac:dyDescent="0.25">
      <c r="C23">
        <v>13</v>
      </c>
      <c r="D23" s="1">
        <f>IFERROR(RTD("market.rtd",,"YahooFinanceOptions",$C$6,$C$1,0,"CALL","ExpDate"&amp;C23),"")</f>
        <v>46038</v>
      </c>
      <c r="E23" s="2">
        <f>IF(E22="","",IFERROR(RTD("market.rtd",,"YahooFinanceOptions",$C$6,$D$6,E22,"CALL","Strike+1"),""))</f>
        <v>65</v>
      </c>
    </row>
    <row r="24" spans="3:5" outlineLevel="1" x14ac:dyDescent="0.25">
      <c r="C24">
        <v>14</v>
      </c>
      <c r="D24" s="1">
        <f>IFERROR(RTD("market.rtd",,"YahooFinanceOptions",$C$6,$C$1,0,"CALL","ExpDate"&amp;C24),"")</f>
        <v>46101</v>
      </c>
      <c r="E24" s="2">
        <f>IF(E23="","",IFERROR(RTD("market.rtd",,"YahooFinanceOptions",$C$6,$D$6,E23,"CALL","Strike+1"),""))</f>
        <v>70</v>
      </c>
    </row>
    <row r="25" spans="3:5" outlineLevel="1" x14ac:dyDescent="0.25">
      <c r="C25">
        <v>15</v>
      </c>
      <c r="D25" s="1">
        <f>IFERROR(RTD("market.rtd",,"YahooFinanceOptions",$C$6,$C$1,0,"CALL","ExpDate"&amp;C25),"")</f>
        <v>46191</v>
      </c>
      <c r="E25" s="2">
        <f>IF(E24="","",IFERROR(RTD("market.rtd",,"YahooFinanceOptions",$C$6,$D$6,E24,"CALL","Strike+1"),""))</f>
        <v>75</v>
      </c>
    </row>
    <row r="26" spans="3:5" outlineLevel="1" x14ac:dyDescent="0.25">
      <c r="C26">
        <v>16</v>
      </c>
      <c r="D26" s="1">
        <f>IFERROR(RTD("market.rtd",,"YahooFinanceOptions",$C$6,$C$1,0,"CALL","ExpDate"&amp;C26),"")</f>
        <v>46283</v>
      </c>
      <c r="E26" s="2">
        <f>IF(E25="","",IFERROR(RTD("market.rtd",,"YahooFinanceOptions",$C$6,$D$6,E25,"CALL","Strike+1"),""))</f>
        <v>80</v>
      </c>
    </row>
    <row r="27" spans="3:5" outlineLevel="1" x14ac:dyDescent="0.25">
      <c r="C27">
        <v>17</v>
      </c>
      <c r="D27" s="1">
        <f>IFERROR(RTD("market.rtd",,"YahooFinanceOptions",$C$6,$C$1,0,"CALL","ExpDate"&amp;C27),"")</f>
        <v>46374</v>
      </c>
      <c r="E27" s="2">
        <f>IF(E26="","",IFERROR(RTD("market.rtd",,"YahooFinanceOptions",$C$6,$D$6,E26,"CALL","Strike+1"),""))</f>
        <v>85</v>
      </c>
    </row>
    <row r="28" spans="3:5" outlineLevel="1" x14ac:dyDescent="0.25">
      <c r="C28">
        <v>18</v>
      </c>
      <c r="D28" s="1">
        <f>IFERROR(RTD("market.rtd",,"YahooFinanceOptions",$C$6,$C$1,0,"CALL","ExpDate"&amp;C28),"")</f>
        <v>46402</v>
      </c>
      <c r="E28" s="2">
        <f>IF(E27="","",IFERROR(RTD("market.rtd",,"YahooFinanceOptions",$C$6,$D$6,E27,"CALL","Strike+1"),""))</f>
        <v>90</v>
      </c>
    </row>
    <row r="29" spans="3:5" outlineLevel="1" x14ac:dyDescent="0.25">
      <c r="C29">
        <v>19</v>
      </c>
      <c r="D29" s="1">
        <f>IFERROR(RTD("market.rtd",,"YahooFinanceOptions",$C$6,$C$1,0,"CALL","ExpDate"&amp;C29),"")</f>
        <v>46555</v>
      </c>
      <c r="E29" s="2">
        <f>IF(E28="","",IFERROR(RTD("market.rtd",,"YahooFinanceOptions",$C$6,$D$6,E28,"CALL","Strike+1"),""))</f>
        <v>95</v>
      </c>
    </row>
    <row r="30" spans="3:5" outlineLevel="1" x14ac:dyDescent="0.25">
      <c r="C30">
        <v>20</v>
      </c>
      <c r="D30" s="1">
        <f>IFERROR(RTD("market.rtd",,"YahooFinanceOptions",$C$6,$C$1,0,"CALL","ExpDate"&amp;C30),"")</f>
        <v>46738</v>
      </c>
      <c r="E30" s="2">
        <f>IF(E29="","",IFERROR(RTD("market.rtd",,"YahooFinanceOptions",$C$6,$D$6,E29,"CALL","Strike+1"),""))</f>
        <v>100</v>
      </c>
    </row>
    <row r="31" spans="3:5" outlineLevel="1" x14ac:dyDescent="0.25">
      <c r="C31">
        <v>21</v>
      </c>
      <c r="D31" s="1" t="str">
        <f>IFERROR(RTD("market.rtd",,"YahooFinanceOptions",$C$6,$C$1,0,"CALL","ExpDate"&amp;C31),"")</f>
        <v/>
      </c>
      <c r="E31" s="2">
        <f>IF(E30="","",IFERROR(RTD("market.rtd",,"YahooFinanceOptions",$C$6,$D$6,E30,"CALL","Strike+1"),""))</f>
        <v>105</v>
      </c>
    </row>
    <row r="32" spans="3:5" outlineLevel="1" x14ac:dyDescent="0.25">
      <c r="C32">
        <v>22</v>
      </c>
      <c r="D32" s="1" t="str">
        <f>IFERROR(RTD("market.rtd",,"YahooFinanceOptions",$C$6,$C$1,0,"CALL","ExpDate"&amp;C32),"")</f>
        <v/>
      </c>
      <c r="E32" s="2">
        <f>IF(E31="","",IFERROR(RTD("market.rtd",,"YahooFinanceOptions",$C$6,$D$6,E31,"CALL","Strike+1"),""))</f>
        <v>110</v>
      </c>
    </row>
    <row r="33" spans="3:5" outlineLevel="1" x14ac:dyDescent="0.25">
      <c r="C33">
        <v>23</v>
      </c>
      <c r="D33" s="1" t="str">
        <f>IFERROR(RTD("market.rtd",,"YahooFinanceOptions",$C$6,$C$1,0,"CALL","ExpDate"&amp;C33),"")</f>
        <v/>
      </c>
      <c r="E33" s="2">
        <f>IF(E32="","",IFERROR(RTD("market.rtd",,"YahooFinanceOptions",$C$6,$D$6,E32,"CALL","Strike+1"),""))</f>
        <v>115</v>
      </c>
    </row>
    <row r="34" spans="3:5" outlineLevel="1" x14ac:dyDescent="0.25">
      <c r="C34">
        <v>24</v>
      </c>
      <c r="D34" s="1" t="str">
        <f>IFERROR(RTD("market.rtd",,"YahooFinanceOptions",$C$6,$C$1,0,"CALL","ExpDate"&amp;C34),"")</f>
        <v/>
      </c>
      <c r="E34" s="2">
        <f>IF(E33="","",IFERROR(RTD("market.rtd",,"YahooFinanceOptions",$C$6,$D$6,E33,"CALL","Strike+1"),""))</f>
        <v>120</v>
      </c>
    </row>
    <row r="35" spans="3:5" outlineLevel="1" x14ac:dyDescent="0.25">
      <c r="C35">
        <v>25</v>
      </c>
      <c r="D35" s="1" t="str">
        <f>IFERROR(RTD("market.rtd",,"YahooFinanceOptions",$C$6,$C$1,0,"CALL","ExpDate"&amp;C35),"")</f>
        <v/>
      </c>
      <c r="E35" s="2">
        <f>IF(E34="","",IFERROR(RTD("market.rtd",,"YahooFinanceOptions",$C$6,$D$6,E34,"CALL","Strike+1"),""))</f>
        <v>125</v>
      </c>
    </row>
    <row r="36" spans="3:5" outlineLevel="1" x14ac:dyDescent="0.25">
      <c r="C36">
        <v>26</v>
      </c>
      <c r="D36" s="1" t="str">
        <f>IFERROR(RTD("market.rtd",,"YahooFinanceOptions",$C$6,$C$1,0,"CALL","ExpDate"&amp;C36),"")</f>
        <v/>
      </c>
      <c r="E36" s="2">
        <f>IF(E35="","",IFERROR(RTD("market.rtd",,"YahooFinanceOptions",$C$6,$D$6,E35,"CALL","Strike+1"),""))</f>
        <v>130</v>
      </c>
    </row>
    <row r="37" spans="3:5" outlineLevel="1" x14ac:dyDescent="0.25">
      <c r="C37">
        <v>27</v>
      </c>
      <c r="D37" s="1" t="str">
        <f>IFERROR(RTD("market.rtd",,"YahooFinanceOptions",$C$6,$C$1,0,"CALL","ExpDate"&amp;C37),"")</f>
        <v/>
      </c>
      <c r="E37" s="2">
        <f>IF(E36="","",IFERROR(RTD("market.rtd",,"YahooFinanceOptions",$C$6,$D$6,E36,"CALL","Strike+1"),""))</f>
        <v>135</v>
      </c>
    </row>
    <row r="38" spans="3:5" outlineLevel="1" x14ac:dyDescent="0.25">
      <c r="C38">
        <v>28</v>
      </c>
      <c r="D38" s="1" t="str">
        <f>IFERROR(RTD("market.rtd",,"YahooFinanceOptions",$C$6,$C$1,0,"CALL","ExpDate"&amp;C38),"")</f>
        <v/>
      </c>
      <c r="E38" s="2">
        <f>IF(E37="","",IFERROR(RTD("market.rtd",,"YahooFinanceOptions",$C$6,$D$6,E37,"CALL","Strike+1"),""))</f>
        <v>140</v>
      </c>
    </row>
    <row r="39" spans="3:5" outlineLevel="1" x14ac:dyDescent="0.25">
      <c r="C39">
        <v>29</v>
      </c>
      <c r="D39" s="1" t="str">
        <f>IFERROR(RTD("market.rtd",,"YahooFinanceOptions",$C$6,$C$1,0,"CALL","ExpDate"&amp;C39),"")</f>
        <v/>
      </c>
      <c r="E39" s="2">
        <f>IF(E38="","",IFERROR(RTD("market.rtd",,"YahooFinanceOptions",$C$6,$D$6,E38,"CALL","Strike+1"),""))</f>
        <v>145</v>
      </c>
    </row>
    <row r="40" spans="3:5" outlineLevel="1" x14ac:dyDescent="0.25">
      <c r="C40">
        <v>30</v>
      </c>
      <c r="D40" s="1" t="str">
        <f>IFERROR(RTD("market.rtd",,"YahooFinanceOptions",$C$6,$C$1,0,"CALL","ExpDate"&amp;C40),"")</f>
        <v/>
      </c>
      <c r="E40" s="2">
        <f>IF(E39="","",IFERROR(RTD("market.rtd",,"YahooFinanceOptions",$C$6,$D$6,E39,"CALL","Strike+1"),""))</f>
        <v>150</v>
      </c>
    </row>
    <row r="41" spans="3:5" outlineLevel="1" x14ac:dyDescent="0.25">
      <c r="C41">
        <v>31</v>
      </c>
      <c r="D41" s="1" t="str">
        <f>IFERROR(RTD("market.rtd",,"YahooFinanceOptions",$C$6,$C$1,0,"CALL","ExpDate"&amp;C41),"")</f>
        <v/>
      </c>
      <c r="E41" s="2">
        <f>IF(E40="","",IFERROR(RTD("market.rtd",,"YahooFinanceOptions",$C$6,$D$6,E40,"CALL","Strike+1"),""))</f>
        <v>155</v>
      </c>
    </row>
    <row r="42" spans="3:5" outlineLevel="1" x14ac:dyDescent="0.25">
      <c r="C42">
        <v>32</v>
      </c>
      <c r="D42" s="1" t="str">
        <f>IFERROR(RTD("market.rtd",,"YahooFinanceOptions",$C$6,$C$1,0,"CALL","ExpDate"&amp;C42),"")</f>
        <v/>
      </c>
      <c r="E42" s="2">
        <f>IF(E41="","",IFERROR(RTD("market.rtd",,"YahooFinanceOptions",$C$6,$D$6,E41,"CALL","Strike+1"),""))</f>
        <v>160</v>
      </c>
    </row>
    <row r="43" spans="3:5" outlineLevel="1" x14ac:dyDescent="0.25">
      <c r="C43">
        <v>33</v>
      </c>
      <c r="D43" s="1" t="str">
        <f>IFERROR(RTD("market.rtd",,"YahooFinanceOptions",$C$6,$C$1,0,"CALL","ExpDate"&amp;C43),"")</f>
        <v/>
      </c>
      <c r="E43" s="2">
        <f>IF(E42="","",IFERROR(RTD("market.rtd",,"YahooFinanceOptions",$C$6,$D$6,E42,"CALL","Strike+1"),""))</f>
        <v>165</v>
      </c>
    </row>
    <row r="44" spans="3:5" outlineLevel="1" x14ac:dyDescent="0.25">
      <c r="C44">
        <v>34</v>
      </c>
      <c r="D44" s="1" t="str">
        <f>IFERROR(RTD("market.rtd",,"YahooFinanceOptions",$C$6,$C$1,0,"CALL","ExpDate"&amp;C44),"")</f>
        <v/>
      </c>
      <c r="E44" s="2">
        <f>IF(E43="","",IFERROR(RTD("market.rtd",,"YahooFinanceOptions",$C$6,$D$6,E43,"CALL","Strike+1"),""))</f>
        <v>170</v>
      </c>
    </row>
    <row r="45" spans="3:5" outlineLevel="1" x14ac:dyDescent="0.25">
      <c r="C45">
        <v>35</v>
      </c>
      <c r="D45" s="1" t="str">
        <f>IFERROR(RTD("market.rtd",,"YahooFinanceOptions",$C$6,$C$1,0,"CALL","ExpDate"&amp;C45),"")</f>
        <v/>
      </c>
      <c r="E45" s="2">
        <f>IF(E44="","",IFERROR(RTD("market.rtd",,"YahooFinanceOptions",$C$6,$D$6,E44,"CALL","Strike+1"),""))</f>
        <v>175</v>
      </c>
    </row>
    <row r="46" spans="3:5" outlineLevel="1" x14ac:dyDescent="0.25">
      <c r="C46">
        <v>36</v>
      </c>
      <c r="D46" s="1" t="str">
        <f>IFERROR(RTD("market.rtd",,"YahooFinanceOptions",$C$6,$C$1,0,"CALL","ExpDate"&amp;C46),"")</f>
        <v/>
      </c>
      <c r="E46" s="2">
        <f>IF(E45="","",IFERROR(RTD("market.rtd",,"YahooFinanceOptions",$C$6,$D$6,E45,"CALL","Strike+1"),""))</f>
        <v>180</v>
      </c>
    </row>
    <row r="47" spans="3:5" outlineLevel="1" x14ac:dyDescent="0.25">
      <c r="C47">
        <v>37</v>
      </c>
      <c r="D47" s="1" t="str">
        <f>IFERROR(RTD("market.rtd",,"YahooFinanceOptions",$C$6,$C$1,0,"CALL","ExpDate"&amp;C47),"")</f>
        <v/>
      </c>
      <c r="E47" s="2">
        <f>IF(E46="","",IFERROR(RTD("market.rtd",,"YahooFinanceOptions",$C$6,$D$6,E46,"CALL","Strike+1"),""))</f>
        <v>185</v>
      </c>
    </row>
    <row r="48" spans="3:5" outlineLevel="1" x14ac:dyDescent="0.25">
      <c r="C48">
        <v>38</v>
      </c>
      <c r="D48" s="1" t="str">
        <f>IFERROR(RTD("market.rtd",,"YahooFinanceOptions",$C$6,$C$1,0,"CALL","ExpDate"&amp;C48),"")</f>
        <v/>
      </c>
      <c r="E48" s="2">
        <f>IF(E47="","",IFERROR(RTD("market.rtd",,"YahooFinanceOptions",$C$6,$D$6,E47,"CALL","Strike+1"),""))</f>
        <v>190</v>
      </c>
    </row>
    <row r="49" spans="3:5" outlineLevel="1" x14ac:dyDescent="0.25">
      <c r="C49">
        <v>39</v>
      </c>
      <c r="D49" s="1" t="str">
        <f>IFERROR(RTD("market.rtd",,"YahooFinanceOptions",$C$6,$C$1,0,"CALL","ExpDate"&amp;C49),"")</f>
        <v/>
      </c>
      <c r="E49" s="2">
        <f>IF(E48="","",IFERROR(RTD("market.rtd",,"YahooFinanceOptions",$C$6,$D$6,E48,"CALL","Strike+1"),""))</f>
        <v>195</v>
      </c>
    </row>
    <row r="50" spans="3:5" outlineLevel="1" x14ac:dyDescent="0.25">
      <c r="C50">
        <v>40</v>
      </c>
      <c r="D50" s="1" t="str">
        <f>IFERROR(RTD("market.rtd",,"YahooFinanceOptions",$C$6,$C$1,0,"CALL","ExpDate"&amp;C50),"")</f>
        <v/>
      </c>
      <c r="E50" s="2">
        <f>IF(E49="","",IFERROR(RTD("market.rtd",,"YahooFinanceOptions",$C$6,$D$6,E49,"CALL","Strike+1"),""))</f>
        <v>200</v>
      </c>
    </row>
    <row r="51" spans="3:5" outlineLevel="1" x14ac:dyDescent="0.25">
      <c r="C51">
        <v>41</v>
      </c>
      <c r="D51" s="1" t="str">
        <f>IFERROR(RTD("market.rtd",,"YahooFinanceOptions",$C$6,$C$1,0,"CALL","ExpDate"&amp;C51),"")</f>
        <v/>
      </c>
      <c r="E51" s="2">
        <f>IF(E50="","",IFERROR(RTD("market.rtd",,"YahooFinanceOptions",$C$6,$D$6,E50,"CALL","Strike+1"),""))</f>
        <v>205</v>
      </c>
    </row>
    <row r="52" spans="3:5" outlineLevel="1" x14ac:dyDescent="0.25">
      <c r="C52">
        <v>42</v>
      </c>
      <c r="D52" s="1" t="str">
        <f>IFERROR(RTD("market.rtd",,"YahooFinanceOptions",$C$6,$C$1,0,"CALL","ExpDate"&amp;C52),"")</f>
        <v/>
      </c>
      <c r="E52" s="2">
        <f>IF(E51="","",IFERROR(RTD("market.rtd",,"YahooFinanceOptions",$C$6,$D$6,E51,"CALL","Strike+1"),""))</f>
        <v>210</v>
      </c>
    </row>
    <row r="53" spans="3:5" outlineLevel="1" x14ac:dyDescent="0.25">
      <c r="C53">
        <v>43</v>
      </c>
      <c r="D53" s="1" t="str">
        <f>IFERROR(RTD("market.rtd",,"YahooFinanceOptions",$C$6,$C$1,0,"CALL","ExpDate"&amp;C53),"")</f>
        <v/>
      </c>
      <c r="E53" s="2">
        <f>IF(E52="","",IFERROR(RTD("market.rtd",,"YahooFinanceOptions",$C$6,$D$6,E52,"CALL","Strike+1"),""))</f>
        <v>215</v>
      </c>
    </row>
    <row r="54" spans="3:5" outlineLevel="1" x14ac:dyDescent="0.25">
      <c r="C54">
        <v>44</v>
      </c>
      <c r="D54" s="1" t="str">
        <f>IFERROR(RTD("market.rtd",,"YahooFinanceOptions",$C$6,$C$1,0,"CALL","ExpDate"&amp;C54),"")</f>
        <v/>
      </c>
      <c r="E54" s="2">
        <f>IF(E53="","",IFERROR(RTD("market.rtd",,"YahooFinanceOptions",$C$6,$D$6,E53,"CALL","Strike+1"),""))</f>
        <v>220</v>
      </c>
    </row>
    <row r="55" spans="3:5" outlineLevel="1" x14ac:dyDescent="0.25">
      <c r="C55">
        <v>45</v>
      </c>
      <c r="D55" s="1" t="str">
        <f>IFERROR(RTD("market.rtd",,"YahooFinanceOptions",$C$6,$C$1,0,"CALL","ExpDate"&amp;C55),"")</f>
        <v/>
      </c>
      <c r="E55" s="2">
        <f>IF(E54="","",IFERROR(RTD("market.rtd",,"YahooFinanceOptions",$C$6,$D$6,E54,"CALL","Strike+1"),""))</f>
        <v>225</v>
      </c>
    </row>
    <row r="56" spans="3:5" outlineLevel="1" x14ac:dyDescent="0.25">
      <c r="C56">
        <v>46</v>
      </c>
      <c r="D56" s="1" t="str">
        <f>IFERROR(RTD("market.rtd",,"YahooFinanceOptions",$C$6,$C$1,0,"CALL","ExpDate"&amp;C56),"")</f>
        <v/>
      </c>
      <c r="E56" s="2">
        <f>IF(E55="","",IFERROR(RTD("market.rtd",,"YahooFinanceOptions",$C$6,$D$6,E55,"CALL","Strike+1"),""))</f>
        <v>230</v>
      </c>
    </row>
    <row r="57" spans="3:5" outlineLevel="1" x14ac:dyDescent="0.25">
      <c r="C57">
        <v>47</v>
      </c>
      <c r="D57" s="1" t="str">
        <f>IFERROR(RTD("market.rtd",,"YahooFinanceOptions",$C$6,$C$1,0,"CALL","ExpDate"&amp;C57),"")</f>
        <v/>
      </c>
      <c r="E57" s="2">
        <f>IF(E56="","",IFERROR(RTD("market.rtd",,"YahooFinanceOptions",$C$6,$D$6,E56,"CALL","Strike+1"),""))</f>
        <v>235</v>
      </c>
    </row>
    <row r="58" spans="3:5" outlineLevel="1" x14ac:dyDescent="0.25">
      <c r="C58">
        <v>48</v>
      </c>
      <c r="D58" s="1" t="str">
        <f>IFERROR(RTD("market.rtd",,"YahooFinanceOptions",$C$6,$C$1,0,"CALL","ExpDate"&amp;C58),"")</f>
        <v/>
      </c>
      <c r="E58" s="2">
        <f>IF(E57="","",IFERROR(RTD("market.rtd",,"YahooFinanceOptions",$C$6,$D$6,E57,"CALL","Strike+1"),""))</f>
        <v>240</v>
      </c>
    </row>
    <row r="59" spans="3:5" outlineLevel="1" x14ac:dyDescent="0.25">
      <c r="C59">
        <v>49</v>
      </c>
      <c r="D59" s="1" t="str">
        <f>IFERROR(RTD("market.rtd",,"YahooFinanceOptions",$C$6,$C$1,0,"CALL","ExpDate"&amp;C59),"")</f>
        <v/>
      </c>
      <c r="E59" s="2">
        <f>IF(E58="","",IFERROR(RTD("market.rtd",,"YahooFinanceOptions",$C$6,$D$6,E58,"CALL","Strike+1"),""))</f>
        <v>245</v>
      </c>
    </row>
    <row r="60" spans="3:5" outlineLevel="1" x14ac:dyDescent="0.25">
      <c r="C60">
        <v>50</v>
      </c>
      <c r="D60" s="1" t="str">
        <f>IFERROR(RTD("market.rtd",,"YahooFinanceOptions",$C$6,$C$1,0,"CALL","ExpDate"&amp;C60),"")</f>
        <v/>
      </c>
      <c r="E60" s="2"/>
    </row>
  </sheetData>
  <dataValidations count="3">
    <dataValidation type="list" allowBlank="1" showInputMessage="1" showErrorMessage="1" sqref="D6" xr:uid="{DBD8FBEB-85E4-4B14-877C-0BF4DB15957D}">
      <formula1>OFFSET($D$11,0,0,COUNTIF($D$11:$D$60,"&gt;0"),1)</formula1>
    </dataValidation>
    <dataValidation type="list" allowBlank="1" showInputMessage="1" showErrorMessage="1" sqref="E6" xr:uid="{5C289B6B-2D33-402D-821A-BD5683F6D553}">
      <formula1>OFFSET($E$11,0,0,COUNTIF($E$11:$E$59,"&gt;0"),1)</formula1>
    </dataValidation>
    <dataValidation type="list" allowBlank="1" showInputMessage="1" showErrorMessage="1" sqref="F6" xr:uid="{13B82529-BFA8-4FC1-AF2E-BFE1C1E20B9D}">
      <formula1>"CALL,PUT"</formula1>
    </dataValidation>
  </dataValidations>
  <pageMargins left="0.7" right="0.7" top="0.75" bottom="0.75" header="0.3" footer="0.3"/>
  <pageSetup paperSize="9" orientation="portrait" horizontalDpi="200" verticalDpi="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B1:U7"/>
  <sheetViews>
    <sheetView showGridLines="0" workbookViewId="0">
      <pane xSplit="2" ySplit="3" topLeftCell="C4" activePane="bottomRight" state="frozen"/>
      <selection pane="topRight" activeCell="C1" sqref="C1"/>
      <selection pane="bottomLeft" activeCell="A4" sqref="A4"/>
      <selection pane="bottomRight" activeCell="C4" sqref="C4"/>
    </sheetView>
  </sheetViews>
  <sheetFormatPr defaultRowHeight="15" x14ac:dyDescent="0.25"/>
  <cols>
    <col min="1" max="1" width="2.5703125" customWidth="1"/>
    <col min="2" max="3" width="21" bestFit="1" customWidth="1"/>
    <col min="4" max="4" width="7.5703125" bestFit="1" customWidth="1"/>
    <col min="5" max="5" width="13.85546875" bestFit="1" customWidth="1"/>
    <col min="6" max="6" width="10.140625" bestFit="1" customWidth="1"/>
    <col min="7" max="7" width="6.140625" bestFit="1" customWidth="1"/>
    <col min="8" max="8" width="5.28515625" bestFit="1" customWidth="1"/>
    <col min="9" max="9" width="7.5703125" customWidth="1"/>
    <col min="10" max="10" width="7.5703125" bestFit="1" customWidth="1"/>
    <col min="11" max="11" width="14.5703125" bestFit="1" customWidth="1"/>
    <col min="12" max="14" width="7.140625" customWidth="1"/>
    <col min="15" max="15" width="8" bestFit="1" customWidth="1"/>
    <col min="16" max="16" width="8.28515625" bestFit="1" customWidth="1"/>
    <col min="17" max="17" width="12.28515625" bestFit="1" customWidth="1"/>
    <col min="18" max="18" width="16" bestFit="1" customWidth="1"/>
    <col min="19" max="19" width="16.42578125" customWidth="1"/>
    <col min="20" max="20" width="19" bestFit="1" customWidth="1"/>
    <col min="21" max="21" width="19.28515625" bestFit="1" customWidth="1"/>
  </cols>
  <sheetData>
    <row r="1" spans="2:21" x14ac:dyDescent="0.25">
      <c r="E1" s="9" t="s">
        <v>32</v>
      </c>
    </row>
    <row r="3" spans="2:21" x14ac:dyDescent="0.25">
      <c r="B3" t="s">
        <v>29</v>
      </c>
      <c r="C3" t="s">
        <v>15</v>
      </c>
      <c r="D3" t="s">
        <v>11</v>
      </c>
      <c r="E3" t="s">
        <v>28</v>
      </c>
      <c r="F3" t="s">
        <v>12</v>
      </c>
      <c r="G3" t="s">
        <v>27</v>
      </c>
      <c r="H3" t="s">
        <v>26</v>
      </c>
      <c r="I3" t="s">
        <v>1</v>
      </c>
      <c r="J3" t="s">
        <v>4</v>
      </c>
      <c r="K3" t="s">
        <v>25</v>
      </c>
      <c r="L3" t="s">
        <v>6</v>
      </c>
      <c r="M3" t="s">
        <v>7</v>
      </c>
      <c r="N3" t="s">
        <v>8</v>
      </c>
      <c r="O3" t="s">
        <v>9</v>
      </c>
      <c r="P3" t="s">
        <v>10</v>
      </c>
      <c r="Q3" t="s">
        <v>17</v>
      </c>
      <c r="R3" t="s">
        <v>16</v>
      </c>
      <c r="S3" t="s">
        <v>24</v>
      </c>
      <c r="T3" t="s">
        <v>23</v>
      </c>
      <c r="U3" t="s">
        <v>22</v>
      </c>
    </row>
    <row r="4" spans="2:21" x14ac:dyDescent="0.25">
      <c r="B4" s="14" t="s">
        <v>45</v>
      </c>
      <c r="C4" t="str">
        <f>RTD("market.rtd",,"YahooFinanceOptions",Table5[[#This Row],[Code]],"OptionCode")</f>
        <v>AAPL260116C00150000</v>
      </c>
      <c r="D4" t="str">
        <f>RTD("market.rtd",,"YahooFinanceOptions",Table5[[#This Row],[Code]],"Symbol")</f>
        <v>AAPL</v>
      </c>
      <c r="E4" t="str">
        <f>RTD("market.rtd",,"YahooFinanceOptions",Table5[[#This Row],[Code]],"OptionSymbol")</f>
        <v>AAPL</v>
      </c>
      <c r="F4" s="1">
        <f>RTD("market.rtd",,"YahooFinanceOptions",Table5[[#This Row],[Code]],"Exp")</f>
        <v>46038</v>
      </c>
      <c r="G4">
        <f>RTD("market.rtd",,"YahooFinanceOptions",Table5[[#This Row],[Code]],"Strike")</f>
        <v>150</v>
      </c>
      <c r="H4" t="str">
        <f>RTD("market.rtd",,"YahooFinanceOptions",Table5[[#This Row],[Code]],"Type")</f>
        <v>CALL</v>
      </c>
      <c r="I4" s="3">
        <f>RTD("market.rtd",,"YahooFinanceOptions",Table5[[#This Row],[Code]],"Last")</f>
        <v>60.3</v>
      </c>
      <c r="J4" s="13">
        <f>RTD("market.rtd",,"YahooFinanceOptions",Table5[[#This Row],[Code]],"Change")</f>
        <v>0</v>
      </c>
      <c r="K4" s="8">
        <f>RTD("market.rtd",,"YahooFinanceOptions",Table5[[#This Row],[Code]],"ChangeInPercent")</f>
        <v>0</v>
      </c>
      <c r="L4" s="3">
        <f>RTD("market.rtd",,"YahooFinanceOptions",Table5[[#This Row],[Code]],"Mark")</f>
        <v>0</v>
      </c>
      <c r="M4" s="3">
        <f>RTD("market.rtd",,"YahooFinanceOptions",Table5[[#This Row],[Code]],"Bid")</f>
        <v>0</v>
      </c>
      <c r="N4" s="3">
        <f>RTD("market.rtd",,"YahooFinanceOptions",Table5[[#This Row],[Code]],"Ask")</f>
        <v>0</v>
      </c>
      <c r="O4" s="10">
        <f>RTD("market.rtd",,"YahooFinanceOptions",Table5[[#This Row],[Code]],"Volume")</f>
        <v>370</v>
      </c>
      <c r="P4" s="10">
        <f>RTD("market.rtd",,"YahooFinanceOptions",Table5[[#This Row],[Code]],"OpenInt")</f>
        <v>43012</v>
      </c>
      <c r="Q4">
        <f>RTD("market.rtd",,"YahooFinanceOptions",Table5[[#This Row],[Code]],"rtd_LastError")</f>
        <v>0</v>
      </c>
      <c r="R4" t="str">
        <f>RTD("market.rtd",,"YahooFinanceOptions",Table5[[#This Row],[Code]],"rtd_LastMessage")</f>
        <v/>
      </c>
      <c r="S4" s="12">
        <f>RTD("market.rtd",,"YahooFinanceOptions",Table5[[#This Row],[Code]],"rtd_LastUpdate")</f>
        <v>45799.357394224535</v>
      </c>
      <c r="T4" s="1">
        <f>RTD("market.rtd",,"YahooFinanceOptions",Table5[[#This Row],[Code]],"rtd_LastUpdateDate")</f>
        <v>45799</v>
      </c>
      <c r="U4" s="11">
        <f>RTD("market.rtd",,"YahooFinanceOptions",Table5[[#This Row],[Code]],"rtd_LastUpdateTime")</f>
        <v>0.35739422453703706</v>
      </c>
    </row>
    <row r="5" spans="2:21" x14ac:dyDescent="0.25">
      <c r="B5" s="14" t="s">
        <v>46</v>
      </c>
      <c r="C5" t="str">
        <f>RTD("market.rtd",,"YahooFinanceOptions",Table5[[#This Row],[Code]],"OptionCode")</f>
        <v>AAPL260116C00200000</v>
      </c>
      <c r="D5" t="str">
        <f>RTD("market.rtd",,"YahooFinanceOptions",Table5[[#This Row],[Code]],"Symbol")</f>
        <v>AAPL</v>
      </c>
      <c r="E5" t="str">
        <f>RTD("market.rtd",,"YahooFinanceOptions",Table5[[#This Row],[Code]],"OptionSymbol")</f>
        <v>AAPL</v>
      </c>
      <c r="F5" s="1">
        <f>RTD("market.rtd",,"YahooFinanceOptions",Table5[[#This Row],[Code]],"Exp")</f>
        <v>46038</v>
      </c>
      <c r="G5">
        <f>RTD("market.rtd",,"YahooFinanceOptions",Table5[[#This Row],[Code]],"Strike")</f>
        <v>200</v>
      </c>
      <c r="H5" t="str">
        <f>RTD("market.rtd",,"YahooFinanceOptions",Table5[[#This Row],[Code]],"Type")</f>
        <v>CALL</v>
      </c>
      <c r="I5" s="3">
        <f>RTD("market.rtd",,"YahooFinanceOptions",Table5[[#This Row],[Code]],"Last")</f>
        <v>23.8</v>
      </c>
      <c r="J5" s="13">
        <f>RTD("market.rtd",,"YahooFinanceOptions",Table5[[#This Row],[Code]],"Change")</f>
        <v>0</v>
      </c>
      <c r="K5" s="8">
        <f>RTD("market.rtd",,"YahooFinanceOptions",Table5[[#This Row],[Code]],"ChangeInPercent")</f>
        <v>0</v>
      </c>
      <c r="L5" s="3">
        <f>RTD("market.rtd",,"YahooFinanceOptions",Table5[[#This Row],[Code]],"Mark")</f>
        <v>0</v>
      </c>
      <c r="M5" s="3">
        <f>RTD("market.rtd",,"YahooFinanceOptions",Table5[[#This Row],[Code]],"Bid")</f>
        <v>0</v>
      </c>
      <c r="N5" s="3">
        <f>RTD("market.rtd",,"YahooFinanceOptions",Table5[[#This Row],[Code]],"Ask")</f>
        <v>0</v>
      </c>
      <c r="O5" s="10">
        <f>RTD("market.rtd",,"YahooFinanceOptions",Table5[[#This Row],[Code]],"Volume")</f>
        <v>248</v>
      </c>
      <c r="P5" s="10">
        <f>RTD("market.rtd",,"YahooFinanceOptions",Table5[[#This Row],[Code]],"OpenInt")</f>
        <v>17906</v>
      </c>
      <c r="Q5">
        <f>RTD("market.rtd",,"YahooFinanceOptions",Table5[[#This Row],[Code]],"rtd_LastError")</f>
        <v>0</v>
      </c>
      <c r="R5" t="str">
        <f>RTD("market.rtd",,"YahooFinanceOptions",Table5[[#This Row],[Code]],"rtd_LastMessage")</f>
        <v/>
      </c>
      <c r="S5" s="12">
        <f>RTD("market.rtd",,"YahooFinanceOptions",Table5[[#This Row],[Code]],"rtd_LastUpdate")</f>
        <v>45799.357394224535</v>
      </c>
      <c r="T5" s="1">
        <f>RTD("market.rtd",,"YahooFinanceOptions",Table5[[#This Row],[Code]],"rtd_LastUpdateDate")</f>
        <v>45799</v>
      </c>
      <c r="U5" s="11">
        <f>RTD("market.rtd",,"YahooFinanceOptions",Table5[[#This Row],[Code]],"rtd_LastUpdateTime")</f>
        <v>0.35739422453703706</v>
      </c>
    </row>
    <row r="6" spans="2:21" x14ac:dyDescent="0.25">
      <c r="B6" s="14" t="s">
        <v>48</v>
      </c>
      <c r="C6" t="str">
        <f>RTD("market.rtd",,"YahooFinanceOptions",Table5[[#This Row],[Code]],"OptionCode")</f>
        <v>AAPL270115C00150000</v>
      </c>
      <c r="D6" t="str">
        <f>RTD("market.rtd",,"YahooFinanceOptions",Table5[[#This Row],[Code]],"Symbol")</f>
        <v>AAPL</v>
      </c>
      <c r="E6" t="str">
        <f>RTD("market.rtd",,"YahooFinanceOptions",Table5[[#This Row],[Code]],"OptionSymbol")</f>
        <v>AAPL</v>
      </c>
      <c r="F6" s="1">
        <f>RTD("market.rtd",,"YahooFinanceOptions",Table5[[#This Row],[Code]],"Exp")</f>
        <v>46402</v>
      </c>
      <c r="G6">
        <f>RTD("market.rtd",,"YahooFinanceOptions",Table5[[#This Row],[Code]],"Strike")</f>
        <v>150</v>
      </c>
      <c r="H6" t="str">
        <f>RTD("market.rtd",,"YahooFinanceOptions",Table5[[#This Row],[Code]],"Type")</f>
        <v>CALL</v>
      </c>
      <c r="I6" s="3">
        <f>RTD("market.rtd",,"YahooFinanceOptions",Table5[[#This Row],[Code]],"Last")</f>
        <v>70.400000000000006</v>
      </c>
      <c r="J6" s="13">
        <f>RTD("market.rtd",,"YahooFinanceOptions",Table5[[#This Row],[Code]],"Change")</f>
        <v>0</v>
      </c>
      <c r="K6" s="8">
        <f>RTD("market.rtd",,"YahooFinanceOptions",Table5[[#This Row],[Code]],"ChangeInPercent")</f>
        <v>0</v>
      </c>
      <c r="L6" s="3">
        <f>RTD("market.rtd",,"YahooFinanceOptions",Table5[[#This Row],[Code]],"Mark")</f>
        <v>0</v>
      </c>
      <c r="M6" s="3">
        <f>RTD("market.rtd",,"YahooFinanceOptions",Table5[[#This Row],[Code]],"Bid")</f>
        <v>0</v>
      </c>
      <c r="N6" s="3">
        <f>RTD("market.rtd",,"YahooFinanceOptions",Table5[[#This Row],[Code]],"Ask")</f>
        <v>0</v>
      </c>
      <c r="O6" s="10">
        <f>RTD("market.rtd",,"YahooFinanceOptions",Table5[[#This Row],[Code]],"Volume")</f>
        <v>6</v>
      </c>
      <c r="P6" s="10">
        <f>RTD("market.rtd",,"YahooFinanceOptions",Table5[[#This Row],[Code]],"OpenInt")</f>
        <v>2010</v>
      </c>
      <c r="Q6">
        <f>RTD("market.rtd",,"YahooFinanceOptions",Table5[[#This Row],[Code]],"rtd_LastError")</f>
        <v>0</v>
      </c>
      <c r="R6" t="str">
        <f>RTD("market.rtd",,"YahooFinanceOptions",Table5[[#This Row],[Code]],"rtd_LastMessage")</f>
        <v/>
      </c>
      <c r="S6" s="12">
        <f>RTD("market.rtd",,"YahooFinanceOptions",Table5[[#This Row],[Code]],"rtd_LastUpdate")</f>
        <v>45799.361831712966</v>
      </c>
      <c r="T6" s="1">
        <f>RTD("market.rtd",,"YahooFinanceOptions",Table5[[#This Row],[Code]],"rtd_LastUpdateDate")</f>
        <v>45799</v>
      </c>
      <c r="U6" s="11">
        <f>RTD("market.rtd",,"YahooFinanceOptions",Table5[[#This Row],[Code]],"rtd_LastUpdateTime")</f>
        <v>0.36183171296296296</v>
      </c>
    </row>
    <row r="7" spans="2:21" x14ac:dyDescent="0.25">
      <c r="B7" s="14" t="s">
        <v>49</v>
      </c>
      <c r="C7" t="str">
        <f>RTD("market.rtd",,"YahooFinanceOptions",Table5[[#This Row],[Code]],"OptionCode")</f>
        <v>AAPL270115C00200000</v>
      </c>
      <c r="D7" t="str">
        <f>RTD("market.rtd",,"YahooFinanceOptions",Table5[[#This Row],[Code]],"Symbol")</f>
        <v>AAPL</v>
      </c>
      <c r="E7" t="str">
        <f>RTD("market.rtd",,"YahooFinanceOptions",Table5[[#This Row],[Code]],"OptionSymbol")</f>
        <v>AAPL</v>
      </c>
      <c r="F7" s="1">
        <f>RTD("market.rtd",,"YahooFinanceOptions",Table5[[#This Row],[Code]],"Exp")</f>
        <v>46402</v>
      </c>
      <c r="G7">
        <f>RTD("market.rtd",,"YahooFinanceOptions",Table5[[#This Row],[Code]],"Strike")</f>
        <v>200</v>
      </c>
      <c r="H7" t="str">
        <f>RTD("market.rtd",,"YahooFinanceOptions",Table5[[#This Row],[Code]],"Type")</f>
        <v>CALL</v>
      </c>
      <c r="I7" s="3">
        <f>RTD("market.rtd",,"YahooFinanceOptions",Table5[[#This Row],[Code]],"Last")</f>
        <v>37.4</v>
      </c>
      <c r="J7" s="13">
        <f>RTD("market.rtd",,"YahooFinanceOptions",Table5[[#This Row],[Code]],"Change")</f>
        <v>0</v>
      </c>
      <c r="K7" s="8">
        <f>RTD("market.rtd",,"YahooFinanceOptions",Table5[[#This Row],[Code]],"ChangeInPercent")</f>
        <v>0</v>
      </c>
      <c r="L7" s="3">
        <f>RTD("market.rtd",,"YahooFinanceOptions",Table5[[#This Row],[Code]],"Mark")</f>
        <v>0</v>
      </c>
      <c r="M7" s="3">
        <f>RTD("market.rtd",,"YahooFinanceOptions",Table5[[#This Row],[Code]],"Bid")</f>
        <v>0</v>
      </c>
      <c r="N7" s="3">
        <f>RTD("market.rtd",,"YahooFinanceOptions",Table5[[#This Row],[Code]],"Ask")</f>
        <v>0</v>
      </c>
      <c r="O7" s="10">
        <f>RTD("market.rtd",,"YahooFinanceOptions",Table5[[#This Row],[Code]],"Volume")</f>
        <v>52</v>
      </c>
      <c r="P7" s="10">
        <f>RTD("market.rtd",,"YahooFinanceOptions",Table5[[#This Row],[Code]],"OpenInt")</f>
        <v>3740</v>
      </c>
      <c r="Q7">
        <f>RTD("market.rtd",,"YahooFinanceOptions",Table5[[#This Row],[Code]],"rtd_LastError")</f>
        <v>0</v>
      </c>
      <c r="R7" t="str">
        <f>RTD("market.rtd",,"YahooFinanceOptions",Table5[[#This Row],[Code]],"rtd_LastMessage")</f>
        <v/>
      </c>
      <c r="S7" s="12">
        <f>RTD("market.rtd",,"YahooFinanceOptions",Table5[[#This Row],[Code]],"rtd_LastUpdate")</f>
        <v>45799.361831712966</v>
      </c>
      <c r="T7" s="1">
        <f>RTD("market.rtd",,"YahooFinanceOptions",Table5[[#This Row],[Code]],"rtd_LastUpdateDate")</f>
        <v>45799</v>
      </c>
      <c r="U7" s="11">
        <f>RTD("market.rtd",,"YahooFinanceOptions",Table5[[#This Row],[Code]],"rtd_LastUpdateTime")</f>
        <v>0.36183171296296296</v>
      </c>
    </row>
  </sheetData>
  <conditionalFormatting sqref="K4:K7">
    <cfRule type="colorScale" priority="4">
      <colorScale>
        <cfvo type="min"/>
        <cfvo type="percentile" val="50"/>
        <cfvo type="max"/>
        <color rgb="FFF8696B"/>
        <color rgb="FFFFEB84"/>
        <color rgb="FF63BE7B"/>
      </colorScale>
    </cfRule>
  </conditionalFormatting>
  <conditionalFormatting sqref="O4:O7">
    <cfRule type="colorScale" priority="6">
      <colorScale>
        <cfvo type="min"/>
        <cfvo type="percentile" val="50"/>
        <cfvo type="max"/>
        <color rgb="FFF8696B"/>
        <color rgb="FFFFEB84"/>
        <color rgb="FF63BE7B"/>
      </colorScale>
    </cfRule>
  </conditionalFormatting>
  <conditionalFormatting sqref="P4:P7">
    <cfRule type="colorScale" priority="5">
      <colorScale>
        <cfvo type="min"/>
        <cfvo type="percentile" val="50"/>
        <cfvo type="max"/>
        <color rgb="FFF8696B"/>
        <color rgb="FFFFEB84"/>
        <color rgb="FF63BE7B"/>
      </colorScale>
    </cfRule>
  </conditionalFormatting>
  <pageMargins left="0.7" right="0.7" top="0.75" bottom="0.75" header="0.3" footer="0.3"/>
  <pageSetup scale="46"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B1:T7"/>
  <sheetViews>
    <sheetView showGridLines="0" workbookViewId="0">
      <pane ySplit="3" topLeftCell="A4" activePane="bottomLeft" state="frozen"/>
      <selection activeCell="F6" sqref="F6"/>
      <selection pane="bottomLeft" activeCell="A4" sqref="A4"/>
    </sheetView>
  </sheetViews>
  <sheetFormatPr defaultRowHeight="15" x14ac:dyDescent="0.25"/>
  <cols>
    <col min="1" max="1" width="2.5703125" customWidth="1"/>
    <col min="2" max="2" width="13.85546875" bestFit="1" customWidth="1"/>
    <col min="3" max="3" width="10.42578125" customWidth="1"/>
    <col min="4" max="4" width="6.140625" bestFit="1" customWidth="1"/>
    <col min="5" max="5" width="5.28515625" bestFit="1" customWidth="1"/>
    <col min="6" max="6" width="21" bestFit="1" customWidth="1"/>
    <col min="7" max="7" width="11.28515625" customWidth="1"/>
    <col min="8" max="8" width="5.5703125" bestFit="1" customWidth="1"/>
    <col min="9" max="9" width="7.5703125" bestFit="1" customWidth="1"/>
    <col min="10" max="10" width="14.5703125" bestFit="1" customWidth="1"/>
    <col min="11" max="13" width="7.140625" customWidth="1"/>
    <col min="14" max="14" width="8" bestFit="1" customWidth="1"/>
    <col min="15" max="15" width="8.28515625" bestFit="1" customWidth="1"/>
    <col min="16" max="16" width="12.28515625" bestFit="1" customWidth="1"/>
    <col min="17" max="17" width="16" bestFit="1" customWidth="1"/>
    <col min="18" max="18" width="16.140625" bestFit="1" customWidth="1"/>
    <col min="19" max="19" width="19" bestFit="1" customWidth="1"/>
    <col min="20" max="20" width="19.28515625" bestFit="1" customWidth="1"/>
  </cols>
  <sheetData>
    <row r="1" spans="2:20" x14ac:dyDescent="0.25">
      <c r="F1" s="9" t="s">
        <v>32</v>
      </c>
    </row>
    <row r="3" spans="2:20" x14ac:dyDescent="0.25">
      <c r="B3" t="s">
        <v>28</v>
      </c>
      <c r="C3" t="s">
        <v>12</v>
      </c>
      <c r="D3" t="s">
        <v>27</v>
      </c>
      <c r="E3" t="s">
        <v>26</v>
      </c>
      <c r="F3" t="s">
        <v>15</v>
      </c>
      <c r="G3" t="s">
        <v>11</v>
      </c>
      <c r="H3" t="s">
        <v>1</v>
      </c>
      <c r="I3" t="s">
        <v>4</v>
      </c>
      <c r="J3" t="s">
        <v>25</v>
      </c>
      <c r="K3" t="s">
        <v>6</v>
      </c>
      <c r="L3" t="s">
        <v>7</v>
      </c>
      <c r="M3" t="s">
        <v>8</v>
      </c>
      <c r="N3" t="s">
        <v>9</v>
      </c>
      <c r="O3" t="s">
        <v>10</v>
      </c>
      <c r="P3" t="s">
        <v>17</v>
      </c>
      <c r="Q3" t="s">
        <v>16</v>
      </c>
      <c r="R3" t="s">
        <v>24</v>
      </c>
      <c r="S3" t="s">
        <v>23</v>
      </c>
      <c r="T3" t="s">
        <v>22</v>
      </c>
    </row>
    <row r="4" spans="2:20" x14ac:dyDescent="0.25">
      <c r="B4" s="14" t="s">
        <v>30</v>
      </c>
      <c r="C4" s="15">
        <v>46038</v>
      </c>
      <c r="D4" s="14">
        <v>150</v>
      </c>
      <c r="E4" s="14" t="s">
        <v>0</v>
      </c>
      <c r="F4" t="str">
        <f>RTD("market.rtd",,"YahooFinanceOptions",Table6[[#This Row],[OptionSymbol]],Table6[[#This Row],[ExpDate]],Table6[[#This Row],[Strike]],Table6[[#This Row],[Type]],"OptionCode")</f>
        <v>AAPL260116C00150000</v>
      </c>
      <c r="G4" t="str">
        <f>RTD("market.rtd",,"YahooFinanceOptions",Table6[[#This Row],[OptionSymbol]],Table6[[#This Row],[ExpDate]],Table6[[#This Row],[Strike]],Table6[[#This Row],[Type]],"Symbol")</f>
        <v>AAPL</v>
      </c>
      <c r="H4" s="3">
        <f>RTD("market.rtd",,"YahooFinanceOptions",Table6[[#This Row],[OptionSymbol]],Table6[[#This Row],[ExpDate]],Table6[[#This Row],[Strike]],Table6[[#This Row],[Type]],"Last")</f>
        <v>60.3</v>
      </c>
      <c r="I4" s="13">
        <f>RTD("market.rtd",,"YahooFinanceOptions",Table6[[#This Row],[OptionSymbol]],Table6[[#This Row],[ExpDate]],Table6[[#This Row],[Strike]],Table6[[#This Row],[Type]],"Change")</f>
        <v>0</v>
      </c>
      <c r="J4" s="8">
        <f>RTD("market.rtd",,"YahooFinanceOptions",Table6[[#This Row],[OptionSymbol]],Table6[[#This Row],[ExpDate]],Table6[[#This Row],[Strike]],Table6[[#This Row],[Type]],"ChangeInPercent")</f>
        <v>0</v>
      </c>
      <c r="K4" s="3">
        <f>RTD("market.rtd",,"YahooFinanceOptions",Table6[[#This Row],[OptionSymbol]],Table6[[#This Row],[ExpDate]],Table6[[#This Row],[Strike]],Table6[[#This Row],[Type]],"Mark")</f>
        <v>0</v>
      </c>
      <c r="L4" s="3">
        <f>RTD("market.rtd",,"YahooFinanceOptions",Table6[[#This Row],[OptionSymbol]],Table6[[#This Row],[ExpDate]],Table6[[#This Row],[Strike]],Table6[[#This Row],[Type]],"Bid")</f>
        <v>0</v>
      </c>
      <c r="M4" s="3">
        <f>RTD("market.rtd",,"YahooFinanceOptions",Table6[[#This Row],[OptionSymbol]],Table6[[#This Row],[ExpDate]],Table6[[#This Row],[Strike]],Table6[[#This Row],[Type]],"Ask")</f>
        <v>0</v>
      </c>
      <c r="N4" s="10">
        <f>RTD("market.rtd",,"YahooFinanceOptions",Table6[[#This Row],[OptionSymbol]],Table6[[#This Row],[ExpDate]],Table6[[#This Row],[Strike]],Table6[[#This Row],[Type]],"Volume")</f>
        <v>370</v>
      </c>
      <c r="O4" s="10">
        <f>RTD("market.rtd",,"YahooFinanceOptions",Table6[[#This Row],[OptionSymbol]],Table6[[#This Row],[ExpDate]],Table6[[#This Row],[Strike]],Table6[[#This Row],[Type]],"OpenInt")</f>
        <v>43012</v>
      </c>
      <c r="P4">
        <f>RTD("market.rtd",,"YahooFinanceOptions",Table6[[#This Row],[OptionSymbol]],Table6[[#This Row],[ExpDate]],Table6[[#This Row],[Strike]],Table6[[#This Row],[Type]],"rtd_LastError")</f>
        <v>0</v>
      </c>
      <c r="Q4" t="str">
        <f>RTD("market.rtd",,"YahooFinanceOptions",Table6[[#This Row],[OptionSymbol]],Table6[[#This Row],[ExpDate]],Table6[[#This Row],[Strike]],Table6[[#This Row],[Type]],"rtd_LastMessage")</f>
        <v/>
      </c>
      <c r="R4" s="12">
        <f>RTD("market.rtd",,"YahooFinanceOptions",Table6[[#This Row],[OptionSymbol]],Table6[[#This Row],[ExpDate]],Table6[[#This Row],[Strike]],Table6[[#This Row],[Type]],"rtd_LastUpdate")</f>
        <v>45799.357394224535</v>
      </c>
      <c r="S4" s="1">
        <f>RTD("market.rtd",,"YahooFinanceOptions",Table6[[#This Row],[OptionSymbol]],Table6[[#This Row],[ExpDate]],Table6[[#This Row],[Strike]],Table6[[#This Row],[Type]],"rtd_LastUpdateDate")</f>
        <v>45799</v>
      </c>
      <c r="T4" s="11">
        <f>RTD("market.rtd",,"YahooFinanceOptions",Table6[[#This Row],[OptionSymbol]],Table6[[#This Row],[ExpDate]],Table6[[#This Row],[Strike]],Table6[[#This Row],[Type]],"rtd_LastUpdateTime")</f>
        <v>0.35739422453703706</v>
      </c>
    </row>
    <row r="5" spans="2:20" x14ac:dyDescent="0.25">
      <c r="B5" s="14" t="s">
        <v>30</v>
      </c>
      <c r="C5" s="15">
        <v>46038</v>
      </c>
      <c r="D5" s="14">
        <v>200</v>
      </c>
      <c r="E5" s="14" t="s">
        <v>0</v>
      </c>
      <c r="F5" t="str">
        <f>RTD("market.rtd",,"YahooFinanceOptions",Table6[[#This Row],[OptionSymbol]],Table6[[#This Row],[ExpDate]],Table6[[#This Row],[Strike]],Table6[[#This Row],[Type]],"OptionCode")</f>
        <v>AAPL260116C00200000</v>
      </c>
      <c r="G5" t="str">
        <f>RTD("market.rtd",,"YahooFinanceOptions",Table6[[#This Row],[OptionSymbol]],Table6[[#This Row],[ExpDate]],Table6[[#This Row],[Strike]],Table6[[#This Row],[Type]],"Symbol")</f>
        <v>AAPL</v>
      </c>
      <c r="H5" s="3">
        <f>RTD("market.rtd",,"YahooFinanceOptions",Table6[[#This Row],[OptionSymbol]],Table6[[#This Row],[ExpDate]],Table6[[#This Row],[Strike]],Table6[[#This Row],[Type]],"Last")</f>
        <v>23.8</v>
      </c>
      <c r="I5" s="13">
        <f>RTD("market.rtd",,"YahooFinanceOptions",Table6[[#This Row],[OptionSymbol]],Table6[[#This Row],[ExpDate]],Table6[[#This Row],[Strike]],Table6[[#This Row],[Type]],"Change")</f>
        <v>0</v>
      </c>
      <c r="J5" s="8">
        <f>RTD("market.rtd",,"YahooFinanceOptions",Table6[[#This Row],[OptionSymbol]],Table6[[#This Row],[ExpDate]],Table6[[#This Row],[Strike]],Table6[[#This Row],[Type]],"ChangeInPercent")</f>
        <v>0</v>
      </c>
      <c r="K5" s="3">
        <f>RTD("market.rtd",,"YahooFinanceOptions",Table6[[#This Row],[OptionSymbol]],Table6[[#This Row],[ExpDate]],Table6[[#This Row],[Strike]],Table6[[#This Row],[Type]],"Mark")</f>
        <v>0</v>
      </c>
      <c r="L5" s="3">
        <f>RTD("market.rtd",,"YahooFinanceOptions",Table6[[#This Row],[OptionSymbol]],Table6[[#This Row],[ExpDate]],Table6[[#This Row],[Strike]],Table6[[#This Row],[Type]],"Bid")</f>
        <v>0</v>
      </c>
      <c r="M5" s="3">
        <f>RTD("market.rtd",,"YahooFinanceOptions",Table6[[#This Row],[OptionSymbol]],Table6[[#This Row],[ExpDate]],Table6[[#This Row],[Strike]],Table6[[#This Row],[Type]],"Ask")</f>
        <v>0</v>
      </c>
      <c r="N5" s="10">
        <f>RTD("market.rtd",,"YahooFinanceOptions",Table6[[#This Row],[OptionSymbol]],Table6[[#This Row],[ExpDate]],Table6[[#This Row],[Strike]],Table6[[#This Row],[Type]],"Volume")</f>
        <v>248</v>
      </c>
      <c r="O5" s="10">
        <f>RTD("market.rtd",,"YahooFinanceOptions",Table6[[#This Row],[OptionSymbol]],Table6[[#This Row],[ExpDate]],Table6[[#This Row],[Strike]],Table6[[#This Row],[Type]],"OpenInt")</f>
        <v>17906</v>
      </c>
      <c r="P5">
        <f>RTD("market.rtd",,"YahooFinanceOptions",Table6[[#This Row],[OptionSymbol]],Table6[[#This Row],[ExpDate]],Table6[[#This Row],[Strike]],Table6[[#This Row],[Type]],"rtd_LastError")</f>
        <v>0</v>
      </c>
      <c r="Q5" t="str">
        <f>RTD("market.rtd",,"YahooFinanceOptions",Table6[[#This Row],[OptionSymbol]],Table6[[#This Row],[ExpDate]],Table6[[#This Row],[Strike]],Table6[[#This Row],[Type]],"rtd_LastMessage")</f>
        <v/>
      </c>
      <c r="R5" s="12">
        <f>RTD("market.rtd",,"YahooFinanceOptions",Table6[[#This Row],[OptionSymbol]],Table6[[#This Row],[ExpDate]],Table6[[#This Row],[Strike]],Table6[[#This Row],[Type]],"rtd_LastUpdate")</f>
        <v>45799.357394224535</v>
      </c>
      <c r="S5" s="1">
        <f>RTD("market.rtd",,"YahooFinanceOptions",Table6[[#This Row],[OptionSymbol]],Table6[[#This Row],[ExpDate]],Table6[[#This Row],[Strike]],Table6[[#This Row],[Type]],"rtd_LastUpdateDate")</f>
        <v>45799</v>
      </c>
      <c r="T5" s="11">
        <f>RTD("market.rtd",,"YahooFinanceOptions",Table6[[#This Row],[OptionSymbol]],Table6[[#This Row],[ExpDate]],Table6[[#This Row],[Strike]],Table6[[#This Row],[Type]],"rtd_LastUpdateTime")</f>
        <v>0.35739422453703706</v>
      </c>
    </row>
    <row r="6" spans="2:20" x14ac:dyDescent="0.25">
      <c r="B6" s="14" t="s">
        <v>30</v>
      </c>
      <c r="C6" s="15">
        <v>46402</v>
      </c>
      <c r="D6" s="14">
        <v>150</v>
      </c>
      <c r="E6" s="14" t="s">
        <v>0</v>
      </c>
      <c r="F6" t="str">
        <f>RTD("market.rtd",,"YahooFinanceOptions",Table6[[#This Row],[OptionSymbol]],Table6[[#This Row],[ExpDate]],Table6[[#This Row],[Strike]],Table6[[#This Row],[Type]],"OptionCode")</f>
        <v>AAPL270115C00150000</v>
      </c>
      <c r="G6" t="str">
        <f>RTD("market.rtd",,"YahooFinanceOptions",Table6[[#This Row],[OptionSymbol]],Table6[[#This Row],[ExpDate]],Table6[[#This Row],[Strike]],Table6[[#This Row],[Type]],"Symbol")</f>
        <v>AAPL</v>
      </c>
      <c r="H6" s="3">
        <f>RTD("market.rtd",,"YahooFinanceOptions",Table6[[#This Row],[OptionSymbol]],Table6[[#This Row],[ExpDate]],Table6[[#This Row],[Strike]],Table6[[#This Row],[Type]],"Last")</f>
        <v>70.400000000000006</v>
      </c>
      <c r="I6" s="13">
        <f>RTD("market.rtd",,"YahooFinanceOptions",Table6[[#This Row],[OptionSymbol]],Table6[[#This Row],[ExpDate]],Table6[[#This Row],[Strike]],Table6[[#This Row],[Type]],"Change")</f>
        <v>0</v>
      </c>
      <c r="J6" s="8">
        <f>RTD("market.rtd",,"YahooFinanceOptions",Table6[[#This Row],[OptionSymbol]],Table6[[#This Row],[ExpDate]],Table6[[#This Row],[Strike]],Table6[[#This Row],[Type]],"ChangeInPercent")</f>
        <v>0</v>
      </c>
      <c r="K6" s="3">
        <f>RTD("market.rtd",,"YahooFinanceOptions",Table6[[#This Row],[OptionSymbol]],Table6[[#This Row],[ExpDate]],Table6[[#This Row],[Strike]],Table6[[#This Row],[Type]],"Mark")</f>
        <v>0</v>
      </c>
      <c r="L6" s="3">
        <f>RTD("market.rtd",,"YahooFinanceOptions",Table6[[#This Row],[OptionSymbol]],Table6[[#This Row],[ExpDate]],Table6[[#This Row],[Strike]],Table6[[#This Row],[Type]],"Bid")</f>
        <v>0</v>
      </c>
      <c r="M6" s="3">
        <f>RTD("market.rtd",,"YahooFinanceOptions",Table6[[#This Row],[OptionSymbol]],Table6[[#This Row],[ExpDate]],Table6[[#This Row],[Strike]],Table6[[#This Row],[Type]],"Ask")</f>
        <v>0</v>
      </c>
      <c r="N6" s="10">
        <f>RTD("market.rtd",,"YahooFinanceOptions",Table6[[#This Row],[OptionSymbol]],Table6[[#This Row],[ExpDate]],Table6[[#This Row],[Strike]],Table6[[#This Row],[Type]],"Volume")</f>
        <v>6</v>
      </c>
      <c r="O6" s="10">
        <f>RTD("market.rtd",,"YahooFinanceOptions",Table6[[#This Row],[OptionSymbol]],Table6[[#This Row],[ExpDate]],Table6[[#This Row],[Strike]],Table6[[#This Row],[Type]],"OpenInt")</f>
        <v>2010</v>
      </c>
      <c r="P6">
        <f>RTD("market.rtd",,"YahooFinanceOptions",Table6[[#This Row],[OptionSymbol]],Table6[[#This Row],[ExpDate]],Table6[[#This Row],[Strike]],Table6[[#This Row],[Type]],"rtd_LastError")</f>
        <v>0</v>
      </c>
      <c r="Q6" t="str">
        <f>RTD("market.rtd",,"YahooFinanceOptions",Table6[[#This Row],[OptionSymbol]],Table6[[#This Row],[ExpDate]],Table6[[#This Row],[Strike]],Table6[[#This Row],[Type]],"rtd_LastMessage")</f>
        <v/>
      </c>
      <c r="R6" s="12">
        <f>RTD("market.rtd",,"YahooFinanceOptions",Table6[[#This Row],[OptionSymbol]],Table6[[#This Row],[ExpDate]],Table6[[#This Row],[Strike]],Table6[[#This Row],[Type]],"rtd_LastUpdate")</f>
        <v>45799.361831712966</v>
      </c>
      <c r="S6" s="1">
        <f>RTD("market.rtd",,"YahooFinanceOptions",Table6[[#This Row],[OptionSymbol]],Table6[[#This Row],[ExpDate]],Table6[[#This Row],[Strike]],Table6[[#This Row],[Type]],"rtd_LastUpdateDate")</f>
        <v>45799</v>
      </c>
      <c r="T6" s="11">
        <f>RTD("market.rtd",,"YahooFinanceOptions",Table6[[#This Row],[OptionSymbol]],Table6[[#This Row],[ExpDate]],Table6[[#This Row],[Strike]],Table6[[#This Row],[Type]],"rtd_LastUpdateTime")</f>
        <v>0.36183171296296296</v>
      </c>
    </row>
    <row r="7" spans="2:20" x14ac:dyDescent="0.25">
      <c r="B7" s="14" t="s">
        <v>30</v>
      </c>
      <c r="C7" s="15">
        <v>46402</v>
      </c>
      <c r="D7" s="14">
        <v>200</v>
      </c>
      <c r="E7" s="14" t="s">
        <v>0</v>
      </c>
      <c r="F7" t="str">
        <f>RTD("market.rtd",,"YahooFinanceOptions",Table6[[#This Row],[OptionSymbol]],Table6[[#This Row],[ExpDate]],Table6[[#This Row],[Strike]],Table6[[#This Row],[Type]],"OptionCode")</f>
        <v>AAPL270115C00200000</v>
      </c>
      <c r="G7" t="str">
        <f>RTD("market.rtd",,"YahooFinanceOptions",Table6[[#This Row],[OptionSymbol]],Table6[[#This Row],[ExpDate]],Table6[[#This Row],[Strike]],Table6[[#This Row],[Type]],"Symbol")</f>
        <v>AAPL</v>
      </c>
      <c r="H7" s="3">
        <f>RTD("market.rtd",,"YahooFinanceOptions",Table6[[#This Row],[OptionSymbol]],Table6[[#This Row],[ExpDate]],Table6[[#This Row],[Strike]],Table6[[#This Row],[Type]],"Last")</f>
        <v>37.4</v>
      </c>
      <c r="I7" s="13">
        <f>RTD("market.rtd",,"YahooFinanceOptions",Table6[[#This Row],[OptionSymbol]],Table6[[#This Row],[ExpDate]],Table6[[#This Row],[Strike]],Table6[[#This Row],[Type]],"Change")</f>
        <v>0</v>
      </c>
      <c r="J7" s="8">
        <f>RTD("market.rtd",,"YahooFinanceOptions",Table6[[#This Row],[OptionSymbol]],Table6[[#This Row],[ExpDate]],Table6[[#This Row],[Strike]],Table6[[#This Row],[Type]],"ChangeInPercent")</f>
        <v>0</v>
      </c>
      <c r="K7" s="3">
        <f>RTD("market.rtd",,"YahooFinanceOptions",Table6[[#This Row],[OptionSymbol]],Table6[[#This Row],[ExpDate]],Table6[[#This Row],[Strike]],Table6[[#This Row],[Type]],"Mark")</f>
        <v>0</v>
      </c>
      <c r="L7" s="3">
        <f>RTD("market.rtd",,"YahooFinanceOptions",Table6[[#This Row],[OptionSymbol]],Table6[[#This Row],[ExpDate]],Table6[[#This Row],[Strike]],Table6[[#This Row],[Type]],"Bid")</f>
        <v>0</v>
      </c>
      <c r="M7" s="3">
        <f>RTD("market.rtd",,"YahooFinanceOptions",Table6[[#This Row],[OptionSymbol]],Table6[[#This Row],[ExpDate]],Table6[[#This Row],[Strike]],Table6[[#This Row],[Type]],"Ask")</f>
        <v>0</v>
      </c>
      <c r="N7" s="10">
        <f>RTD("market.rtd",,"YahooFinanceOptions",Table6[[#This Row],[OptionSymbol]],Table6[[#This Row],[ExpDate]],Table6[[#This Row],[Strike]],Table6[[#This Row],[Type]],"Volume")</f>
        <v>52</v>
      </c>
      <c r="O7" s="10">
        <f>RTD("market.rtd",,"YahooFinanceOptions",Table6[[#This Row],[OptionSymbol]],Table6[[#This Row],[ExpDate]],Table6[[#This Row],[Strike]],Table6[[#This Row],[Type]],"OpenInt")</f>
        <v>3740</v>
      </c>
      <c r="P7">
        <f>RTD("market.rtd",,"YahooFinanceOptions",Table6[[#This Row],[OptionSymbol]],Table6[[#This Row],[ExpDate]],Table6[[#This Row],[Strike]],Table6[[#This Row],[Type]],"rtd_LastError")</f>
        <v>0</v>
      </c>
      <c r="Q7" t="str">
        <f>RTD("market.rtd",,"YahooFinanceOptions",Table6[[#This Row],[OptionSymbol]],Table6[[#This Row],[ExpDate]],Table6[[#This Row],[Strike]],Table6[[#This Row],[Type]],"rtd_LastMessage")</f>
        <v/>
      </c>
      <c r="R7" s="12">
        <f>RTD("market.rtd",,"YahooFinanceOptions",Table6[[#This Row],[OptionSymbol]],Table6[[#This Row],[ExpDate]],Table6[[#This Row],[Strike]],Table6[[#This Row],[Type]],"rtd_LastUpdate")</f>
        <v>45799.361831712966</v>
      </c>
      <c r="S7" s="1">
        <f>RTD("market.rtd",,"YahooFinanceOptions",Table6[[#This Row],[OptionSymbol]],Table6[[#This Row],[ExpDate]],Table6[[#This Row],[Strike]],Table6[[#This Row],[Type]],"rtd_LastUpdateDate")</f>
        <v>45799</v>
      </c>
      <c r="T7" s="11">
        <f>RTD("market.rtd",,"YahooFinanceOptions",Table6[[#This Row],[OptionSymbol]],Table6[[#This Row],[ExpDate]],Table6[[#This Row],[Strike]],Table6[[#This Row],[Type]],"rtd_LastUpdateTime")</f>
        <v>0.36183171296296296</v>
      </c>
    </row>
  </sheetData>
  <conditionalFormatting sqref="J4:J7">
    <cfRule type="colorScale" priority="7">
      <colorScale>
        <cfvo type="min"/>
        <cfvo type="percentile" val="50"/>
        <cfvo type="max"/>
        <color rgb="FFF8696B"/>
        <color rgb="FFFFEB84"/>
        <color rgb="FF63BE7B"/>
      </colorScale>
    </cfRule>
  </conditionalFormatting>
  <conditionalFormatting sqref="N4:N7">
    <cfRule type="colorScale" priority="8">
      <colorScale>
        <cfvo type="min"/>
        <cfvo type="percentile" val="50"/>
        <cfvo type="max"/>
        <color rgb="FFF8696B"/>
        <color rgb="FFFFEB84"/>
        <color rgb="FF63BE7B"/>
      </colorScale>
    </cfRule>
  </conditionalFormatting>
  <conditionalFormatting sqref="O4:O7">
    <cfRule type="colorScale" priority="9">
      <colorScale>
        <cfvo type="min"/>
        <cfvo type="percentile" val="50"/>
        <cfvo type="max"/>
        <color rgb="FFF8696B"/>
        <color rgb="FFFFEB84"/>
        <color rgb="FF63BE7B"/>
      </colorScale>
    </cfRule>
  </conditionalFormatting>
  <pageMargins left="0.7" right="0.7" top="0.75" bottom="0.75" header="0.3" footer="0.3"/>
  <pageSetup scale="4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G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7.5703125" bestFit="1" customWidth="1"/>
    <col min="3" max="4" width="6.85546875" customWidth="1"/>
    <col min="5" max="6" width="8.42578125" bestFit="1" customWidth="1"/>
    <col min="7" max="7" width="8.85546875" bestFit="1" customWidth="1"/>
  </cols>
  <sheetData>
    <row r="1" spans="2:7" x14ac:dyDescent="0.25">
      <c r="E1" s="9" t="s">
        <v>32</v>
      </c>
    </row>
    <row r="3" spans="2:7" x14ac:dyDescent="0.25">
      <c r="B3" t="s">
        <v>11</v>
      </c>
      <c r="C3" t="s">
        <v>27</v>
      </c>
      <c r="D3" t="s">
        <v>26</v>
      </c>
      <c r="E3" t="s">
        <v>44</v>
      </c>
      <c r="F3" t="s">
        <v>47</v>
      </c>
      <c r="G3" t="s">
        <v>31</v>
      </c>
    </row>
    <row r="4" spans="2:7" x14ac:dyDescent="0.25">
      <c r="B4" s="14" t="s">
        <v>30</v>
      </c>
      <c r="C4" s="14">
        <v>150</v>
      </c>
      <c r="D4" s="14" t="s">
        <v>0</v>
      </c>
      <c r="E4" s="3" t="e">
        <f>RTD("market.rtd",,"YahooFinanceOptions",$B4,E$3,$C4,$D4,"Mark")</f>
        <v>#N/A</v>
      </c>
      <c r="F4" s="3">
        <f>RTD("market.rtd",,"YahooFinanceOptions",$B4,F$3,$C4,$D4,"Mark")</f>
        <v>0</v>
      </c>
      <c r="G4" s="3" t="e">
        <f>Table7[[#This Row],[Jan16''26]]-Table7[[#This Row],[Jan17''25]]</f>
        <v>#N/A</v>
      </c>
    </row>
    <row r="5" spans="2:7" x14ac:dyDescent="0.25">
      <c r="B5" s="14" t="s">
        <v>30</v>
      </c>
      <c r="C5" s="14">
        <v>200</v>
      </c>
      <c r="D5" s="14" t="s">
        <v>0</v>
      </c>
      <c r="E5" s="3" t="e">
        <f>RTD("market.rtd",,"YahooFinanceOptions",$B5,E$3,$C5,$D5,"Mark")</f>
        <v>#N/A</v>
      </c>
      <c r="F5" s="3">
        <f>RTD("market.rtd",,"YahooFinanceOptions",$B5,F$3,$C5,$D5,"Mark")</f>
        <v>0</v>
      </c>
      <c r="G5" s="3" t="e">
        <f>Table7[[#This Row],[Jan16''26]]-Table7[[#This Row],[Jan17''25]]</f>
        <v>#N/A</v>
      </c>
    </row>
    <row r="6" spans="2:7" x14ac:dyDescent="0.25">
      <c r="B6" s="14" t="s">
        <v>30</v>
      </c>
      <c r="C6" s="14">
        <v>150</v>
      </c>
      <c r="D6" s="14" t="s">
        <v>14</v>
      </c>
      <c r="E6" s="3" t="e">
        <f>RTD("market.rtd",,"YahooFinanceOptions",$B6,E$3,$C6,$D6,"Mark")</f>
        <v>#N/A</v>
      </c>
      <c r="F6" s="3">
        <f>RTD("market.rtd",,"YahooFinanceOptions",$B6,F$3,$C6,$D6,"Mark")</f>
        <v>0</v>
      </c>
      <c r="G6" s="3" t="e">
        <f>Table7[[#This Row],[Jan16''26]]-Table7[[#This Row],[Jan17''25]]</f>
        <v>#N/A</v>
      </c>
    </row>
    <row r="7" spans="2:7" x14ac:dyDescent="0.25">
      <c r="B7" s="14" t="s">
        <v>30</v>
      </c>
      <c r="C7" s="14">
        <v>200</v>
      </c>
      <c r="D7" s="14" t="s">
        <v>14</v>
      </c>
      <c r="E7" s="3" t="e">
        <f>RTD("market.rtd",,"YahooFinanceOptions",$B7,E$3,$C7,$D7,"Mark")</f>
        <v>#N/A</v>
      </c>
      <c r="F7" s="3">
        <f>RTD("market.rtd",,"YahooFinanceOptions",$B7,F$3,$C7,$D7,"Mark")</f>
        <v>0</v>
      </c>
      <c r="G7" s="3" t="e">
        <f>Table7[[#This Row],[Jan16''26]]-Table7[[#This Row],[Jan17''25]]</f>
        <v>#N/A</v>
      </c>
    </row>
  </sheetData>
  <pageMargins left="0.7" right="0.7" top="0.75" bottom="0.75" header="0.3" footer="0.3"/>
  <pageSetup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Yahoo! Finance Options</vt:lpstr>
      <vt:lpstr>ExpDates</vt:lpstr>
      <vt:lpstr>Lists</vt:lpstr>
      <vt:lpstr>OptionsByCode</vt:lpstr>
      <vt:lpstr>OptionsByContract</vt:lpstr>
      <vt:lpstr>CalendarModel</vt:lpstr>
    </vt:vector>
  </TitlesOfParts>
  <Company>Gartle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s.vaselenko@gartle.com</cp:lastModifiedBy>
  <dcterms:created xsi:type="dcterms:W3CDTF">2015-03-04T11:13:30Z</dcterms:created>
  <dcterms:modified xsi:type="dcterms:W3CDTF">2025-05-22T12:44:21Z</dcterms:modified>
</cp:coreProperties>
</file>